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21" windowWidth="12120" windowHeight="8085" activeTab="0"/>
  </bookViews>
  <sheets>
    <sheet name="Biweekly Payment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'Biweekly Payment Amortization'!$D$4:$D$8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'Biweekly Payment Amortization'!$B$1:$J$73</definedName>
    <definedName name="TemplatePrintArea">'Biweekly Payment Amortization'!$B$1:$J$74</definedName>
  </definedNames>
  <calcPr fullCalcOnLoad="1"/>
</workbook>
</file>

<file path=xl/sharedStrings.xml><?xml version="1.0" encoding="utf-8"?>
<sst xmlns="http://schemas.openxmlformats.org/spreadsheetml/2006/main" count="38" uniqueCount="32">
  <si>
    <t>First 26 Payments</t>
  </si>
  <si>
    <t>Payment</t>
  </si>
  <si>
    <t>Payment #</t>
  </si>
  <si>
    <t xml:space="preserve">Principal </t>
  </si>
  <si>
    <t xml:space="preserve">Interest </t>
  </si>
  <si>
    <t>Payments for Calendar Years after Year 1</t>
  </si>
  <si>
    <t>Year</t>
  </si>
  <si>
    <t xml:space="preserve">Do Not Delete </t>
  </si>
  <si>
    <t>Periods in first year calendar year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</si>
  <si>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</si>
  <si>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</si>
  <si>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</si>
  <si>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</si>
  <si>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</si>
  <si>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</si>
  <si>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</si>
  <si>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Base year</t>
  </si>
  <si>
    <t>Loan start date</t>
  </si>
  <si>
    <t>Date of first payment</t>
  </si>
  <si>
    <t>Annual loan payments</t>
  </si>
  <si>
    <t>Interest over term of loan</t>
  </si>
  <si>
    <t>Sum of all payments</t>
  </si>
  <si>
    <t>Inputs</t>
  </si>
  <si>
    <t>Key Figures</t>
  </si>
  <si>
    <t>Payment Date</t>
  </si>
  <si>
    <t>Beginning Balance</t>
  </si>
  <si>
    <t>Cumulative Principal</t>
  </si>
  <si>
    <t xml:space="preserve">Cumulative Interest </t>
  </si>
  <si>
    <t>Ending Balance</t>
  </si>
  <si>
    <r>
      <t>Loan period in years</t>
    </r>
    <r>
      <rPr>
        <sz val="8"/>
        <rFont val="Tahoma"/>
        <family val="2"/>
      </rPr>
      <t xml:space="preserve"> </t>
    </r>
    <r>
      <rPr>
        <sz val="7"/>
        <rFont val="Tahoma"/>
        <family val="2"/>
      </rPr>
      <t>(30 max.)</t>
    </r>
  </si>
  <si>
    <t>Biweekly payments</t>
  </si>
  <si>
    <t>Biweekly Mortgage Payment Amortization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</si>
</sst>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"/>
    <numFmt numFmtId="168" formatCode="General;[Red]\-General"/>
    <numFmt numFmtId="169" formatCode="0;[Red]\-0"/>
    <numFmt numFmtId="170" formatCode="0_)"/>
    <numFmt numFmtId="171" formatCode="mm/dd/yy_)"/>
    <numFmt numFmtId="172" formatCode="0_);[Red]\(0\)"/>
    <numFmt numFmtId="173" formatCode="mmmm\ d\,\ yyyy"/>
    <numFmt numFmtId="174" formatCode="&quot;$&quot;#,##0.00"/>
    <numFmt numFmtId="175" formatCode="0.000%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sz val="20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sz val="7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55">
    <xf numFmtId="38" fontId="0" fillId="0" borderId="0" xfId="0" applyAlignment="1">
      <alignment/>
    </xf>
    <xf numFmtId="40" fontId="7" fillId="2" borderId="0" xfId="0" applyNumberFormat="1" applyFont="1" applyFill="1" applyAlignment="1" applyProtection="1">
      <alignment horizontal="left" vertical="center"/>
      <protection/>
    </xf>
    <xf numFmtId="40" fontId="5" fillId="3" borderId="0" xfId="0" applyNumberFormat="1" applyFont="1" applyFill="1" applyAlignment="1" applyProtection="1">
      <alignment horizontal="left" vertical="center"/>
      <protection/>
    </xf>
    <xf numFmtId="40" fontId="10" fillId="3" borderId="0" xfId="0" applyNumberFormat="1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167" fontId="4" fillId="2" borderId="0" xfId="0" applyNumberFormat="1" applyFont="1" applyFill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0" fontId="4" fillId="2" borderId="0" xfId="0" applyNumberFormat="1" applyFont="1" applyFill="1" applyAlignment="1" applyProtection="1">
      <alignment horizontal="left" vertical="center"/>
      <protection/>
    </xf>
    <xf numFmtId="40" fontId="6" fillId="3" borderId="0" xfId="0" applyNumberFormat="1" applyFont="1" applyFill="1" applyAlignment="1" applyProtection="1">
      <alignment horizontal="left" vertical="center"/>
      <protection/>
    </xf>
    <xf numFmtId="167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38" fontId="4" fillId="2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2" fontId="4" fillId="0" borderId="4" xfId="0" applyNumberFormat="1" applyFont="1" applyFill="1" applyBorder="1" applyAlignment="1" applyProtection="1">
      <alignment horizontal="left" vertical="center"/>
      <protection/>
    </xf>
    <xf numFmtId="167" fontId="4" fillId="0" borderId="4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2" borderId="9" xfId="0" applyNumberFormat="1" applyFont="1" applyFill="1" applyBorder="1" applyAlignment="1" applyProtection="1">
      <alignment vertical="center"/>
      <protection/>
    </xf>
    <xf numFmtId="0" fontId="4" fillId="2" borderId="10" xfId="0" applyNumberFormat="1" applyFont="1" applyFill="1" applyBorder="1" applyAlignment="1" applyProtection="1">
      <alignment vertical="center"/>
      <protection/>
    </xf>
    <xf numFmtId="171" fontId="4" fillId="4" borderId="11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horizontal="right" vertical="center"/>
      <protection locked="0"/>
    </xf>
    <xf numFmtId="169" fontId="4" fillId="4" borderId="11" xfId="0" applyNumberFormat="1" applyFont="1" applyFill="1" applyBorder="1" applyAlignment="1" applyProtection="1">
      <alignment horizontal="left" vertical="center"/>
      <protection/>
    </xf>
    <xf numFmtId="0" fontId="4" fillId="4" borderId="11" xfId="0" applyNumberFormat="1" applyFont="1" applyFill="1" applyBorder="1" applyAlignment="1" applyProtection="1">
      <alignment horizontal="left" vertical="center"/>
      <protection/>
    </xf>
    <xf numFmtId="167" fontId="4" fillId="4" borderId="11" xfId="0" applyNumberFormat="1" applyFont="1" applyFill="1" applyBorder="1" applyAlignment="1" applyProtection="1">
      <alignment horizontal="left" vertical="center"/>
      <protection/>
    </xf>
    <xf numFmtId="175" fontId="4" fillId="0" borderId="11" xfId="0" applyNumberFormat="1" applyFont="1" applyFill="1" applyBorder="1" applyAlignment="1" applyProtection="1">
      <alignment vertical="center"/>
      <protection locked="0"/>
    </xf>
    <xf numFmtId="170" fontId="4" fillId="0" borderId="11" xfId="0" applyNumberFormat="1" applyFont="1" applyFill="1" applyBorder="1" applyAlignment="1" applyProtection="1">
      <alignment vertical="center"/>
      <protection locked="0"/>
    </xf>
    <xf numFmtId="171" fontId="4" fillId="0" borderId="11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Alignment="1" applyProtection="1">
      <alignment vertical="center"/>
      <protection/>
    </xf>
    <xf numFmtId="44" fontId="4" fillId="4" borderId="11" xfId="0" applyNumberFormat="1" applyFont="1" applyFill="1" applyBorder="1" applyAlignment="1" applyProtection="1">
      <alignment horizontal="left" vertical="center"/>
      <protection/>
    </xf>
    <xf numFmtId="43" fontId="4" fillId="4" borderId="11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44" fontId="4" fillId="4" borderId="11" xfId="0" applyNumberFormat="1" applyFont="1" applyFill="1" applyBorder="1" applyAlignment="1" applyProtection="1">
      <alignment vertical="center"/>
      <protection/>
    </xf>
    <xf numFmtId="42" fontId="4" fillId="0" borderId="11" xfId="0" applyNumberFormat="1" applyFont="1" applyFill="1" applyBorder="1" applyAlignment="1" applyProtection="1">
      <alignment vertical="center"/>
      <protection locked="0"/>
    </xf>
    <xf numFmtId="0" fontId="5" fillId="3" borderId="9" xfId="0" applyNumberFormat="1" applyFont="1" applyFill="1" applyBorder="1" applyAlignment="1" applyProtection="1">
      <alignment vertical="center"/>
      <protection/>
    </xf>
    <xf numFmtId="0" fontId="5" fillId="3" borderId="12" xfId="0" applyNumberFormat="1" applyFont="1" applyFill="1" applyBorder="1" applyAlignment="1" applyProtection="1">
      <alignment vertical="center"/>
      <protection/>
    </xf>
    <xf numFmtId="0" fontId="5" fillId="3" borderId="10" xfId="0" applyNumberFormat="1" applyFont="1" applyFill="1" applyBorder="1" applyAlignment="1" applyProtection="1">
      <alignment vertical="center"/>
      <protection/>
    </xf>
    <xf numFmtId="0" fontId="4" fillId="2" borderId="9" xfId="0" applyNumberFormat="1" applyFont="1" applyFill="1" applyBorder="1" applyAlignment="1" applyProtection="1">
      <alignment vertical="center"/>
      <protection/>
    </xf>
    <xf numFmtId="0" fontId="4" fillId="2" borderId="10" xfId="0" applyNumberFormat="1" applyFont="1" applyFill="1" applyBorder="1" applyAlignment="1" applyProtection="1">
      <alignment vertical="center"/>
      <protection/>
    </xf>
    <xf numFmtId="167" fontId="5" fillId="5" borderId="13" xfId="0" applyNumberFormat="1" applyFont="1" applyFill="1" applyBorder="1" applyAlignment="1" applyProtection="1">
      <alignment horizontal="left" vertical="center" wrapText="1"/>
      <protection/>
    </xf>
    <xf numFmtId="167" fontId="5" fillId="5" borderId="14" xfId="0" applyNumberFormat="1" applyFont="1" applyFill="1" applyBorder="1" applyAlignment="1" applyProtection="1">
      <alignment horizontal="left" vertical="center" wrapText="1"/>
      <protection/>
    </xf>
    <xf numFmtId="40" fontId="5" fillId="5" borderId="13" xfId="0" applyNumberFormat="1" applyFont="1" applyFill="1" applyBorder="1" applyAlignment="1" applyProtection="1">
      <alignment horizontal="left" vertical="center" wrapText="1"/>
      <protection/>
    </xf>
    <xf numFmtId="40" fontId="5" fillId="5" borderId="14" xfId="0" applyNumberFormat="1" applyFont="1" applyFill="1" applyBorder="1" applyAlignment="1" applyProtection="1">
      <alignment horizontal="left" vertical="center" wrapText="1"/>
      <protection/>
    </xf>
    <xf numFmtId="0" fontId="5" fillId="5" borderId="13" xfId="0" applyNumberFormat="1" applyFont="1" applyFill="1" applyBorder="1" applyAlignment="1" applyProtection="1">
      <alignment horizontal="left" vertical="center" wrapText="1"/>
      <protection/>
    </xf>
    <xf numFmtId="0" fontId="5" fillId="5" borderId="14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AF214"/>
  <sheetViews>
    <sheetView showGridLines="0" tabSelected="1" workbookViewId="0" topLeftCell="A1">
      <selection activeCell="D4" sqref="D4"/>
    </sheetView>
  </sheetViews>
  <sheetFormatPr defaultColWidth="9.7109375" defaultRowHeight="12.75"/>
  <cols>
    <col min="1" max="1" width="1.7109375" style="4" customWidth="1"/>
    <col min="2" max="2" width="11.140625" style="4" customWidth="1"/>
    <col min="3" max="3" width="12.421875" style="4" customWidth="1"/>
    <col min="4" max="10" width="13.8515625" style="4" customWidth="1"/>
    <col min="11" max="11" width="4.7109375" style="4" customWidth="1"/>
    <col min="12" max="16384" width="9.7109375" style="4" customWidth="1"/>
  </cols>
  <sheetData>
    <row r="1" spans="2:10" ht="39" customHeight="1">
      <c r="B1" s="37" t="s">
        <v>31</v>
      </c>
      <c r="C1" s="11"/>
      <c r="D1" s="11"/>
      <c r="E1" s="11"/>
      <c r="F1" s="11"/>
      <c r="G1" s="11"/>
      <c r="H1" s="11"/>
      <c r="I1" s="11"/>
      <c r="J1" s="11"/>
    </row>
    <row r="2" spans="2:10" ht="4.5" customHeight="1">
      <c r="B2" s="11"/>
      <c r="C2" s="10"/>
      <c r="D2" s="11"/>
      <c r="E2" s="11"/>
      <c r="F2" s="11"/>
      <c r="G2" s="11"/>
      <c r="H2" s="11"/>
      <c r="I2" s="11"/>
      <c r="J2" s="11"/>
    </row>
    <row r="3" spans="2:10" ht="19.5" customHeight="1">
      <c r="B3" s="44" t="s">
        <v>22</v>
      </c>
      <c r="C3" s="45"/>
      <c r="D3" s="46"/>
      <c r="E3" s="44" t="s">
        <v>23</v>
      </c>
      <c r="F3" s="45"/>
      <c r="G3" s="46"/>
      <c r="I3" s="1"/>
      <c r="J3" s="1"/>
    </row>
    <row r="4" spans="2:9" ht="12" customHeight="1">
      <c r="B4" s="47" t="s">
        <v>14</v>
      </c>
      <c r="C4" s="48"/>
      <c r="D4" s="43">
        <v>654645</v>
      </c>
      <c r="E4" s="47" t="s">
        <v>19</v>
      </c>
      <c r="F4" s="48"/>
      <c r="G4" s="42">
        <f>IF(SUM(G5)&lt;&gt;0,+G5*26,"")</f>
        <v>54221.44</v>
      </c>
      <c r="I4" s="5"/>
    </row>
    <row r="5" spans="2:9" ht="12" customHeight="1">
      <c r="B5" s="47" t="s">
        <v>15</v>
      </c>
      <c r="C5" s="48"/>
      <c r="D5" s="34">
        <v>0.03</v>
      </c>
      <c r="E5" s="47" t="s">
        <v>30</v>
      </c>
      <c r="F5" s="48"/>
      <c r="G5" s="42">
        <f>IF(AND(AND(D4,D5&lt;&gt;0),D6&lt;&gt;0),ROUND(PMT(D5/26,D6*26,-(D4)),2),"")</f>
        <v>2085.44</v>
      </c>
      <c r="I5" s="5"/>
    </row>
    <row r="6" spans="2:9" ht="12" customHeight="1">
      <c r="B6" s="27" t="s">
        <v>29</v>
      </c>
      <c r="C6" s="28"/>
      <c r="D6" s="30">
        <v>15</v>
      </c>
      <c r="E6" s="47" t="s">
        <v>20</v>
      </c>
      <c r="F6" s="48"/>
      <c r="G6" s="42">
        <f>IF(AND(AND(SUM(G4),SUM(D6)&lt;&gt;0),SUM(D4)&lt;&gt;0),+G4*D6-D4,"")</f>
        <v>158676.6000000001</v>
      </c>
      <c r="I6" s="5"/>
    </row>
    <row r="7" spans="2:14" ht="12" customHeight="1">
      <c r="B7" s="47" t="s">
        <v>16</v>
      </c>
      <c r="C7" s="48"/>
      <c r="D7" s="35">
        <v>2005</v>
      </c>
      <c r="E7" s="47" t="s">
        <v>21</v>
      </c>
      <c r="F7" s="48"/>
      <c r="G7" s="42">
        <f>IF(AND(SUM(G4)&lt;&gt;0,SUM(D6)&lt;&gt;0),G4*D6,"")</f>
        <v>813321.6000000001</v>
      </c>
      <c r="I7" s="5"/>
      <c r="K7" s="5"/>
      <c r="L7" s="5"/>
      <c r="M7" s="5"/>
      <c r="N7" s="5"/>
    </row>
    <row r="8" spans="2:7" ht="12" customHeight="1">
      <c r="B8" s="47" t="s">
        <v>17</v>
      </c>
      <c r="C8" s="48"/>
      <c r="D8" s="36">
        <v>2001</v>
      </c>
      <c r="E8" s="38"/>
      <c r="F8" s="26"/>
      <c r="G8" s="25"/>
    </row>
    <row r="9" spans="2:7" ht="12" customHeight="1">
      <c r="B9" s="47" t="s">
        <v>18</v>
      </c>
      <c r="C9" s="48"/>
      <c r="D9" s="29">
        <f>IF(D8,+D8+14,"")</f>
        <v>2015</v>
      </c>
      <c r="E9" s="25"/>
      <c r="F9" s="26"/>
      <c r="G9" s="25"/>
    </row>
    <row r="10" spans="2:10" ht="9.75" customHeight="1">
      <c r="B10" s="5"/>
      <c r="C10" s="6"/>
      <c r="D10" s="5"/>
      <c r="E10" s="5"/>
      <c r="F10" s="5"/>
      <c r="G10" s="5"/>
      <c r="H10" s="5"/>
      <c r="I10" s="6"/>
      <c r="J10" s="5"/>
    </row>
    <row r="11" spans="2:10" ht="19.5" customHeight="1">
      <c r="B11" s="41" t="s">
        <v>0</v>
      </c>
      <c r="C11" s="7"/>
      <c r="D11" s="7"/>
      <c r="E11" s="7"/>
      <c r="F11" s="7"/>
      <c r="G11" s="7"/>
      <c r="H11" s="7"/>
      <c r="I11" s="7"/>
      <c r="J11" s="7"/>
    </row>
    <row r="12" spans="2:10" ht="12" customHeight="1">
      <c r="B12" s="53" t="s">
        <v>2</v>
      </c>
      <c r="C12" s="53" t="s">
        <v>24</v>
      </c>
      <c r="D12" s="53" t="s">
        <v>25</v>
      </c>
      <c r="E12" s="53" t="s">
        <v>1</v>
      </c>
      <c r="F12" s="53" t="s">
        <v>3</v>
      </c>
      <c r="G12" s="53" t="s">
        <v>4</v>
      </c>
      <c r="H12" s="53" t="s">
        <v>26</v>
      </c>
      <c r="I12" s="53" t="s">
        <v>27</v>
      </c>
      <c r="J12" s="53" t="s">
        <v>28</v>
      </c>
    </row>
    <row r="13" spans="2:10" ht="15" customHeight="1">
      <c r="B13" s="54"/>
      <c r="C13" s="54"/>
      <c r="D13" s="54"/>
      <c r="E13" s="54"/>
      <c r="F13" s="54"/>
      <c r="G13" s="54"/>
      <c r="H13" s="54"/>
      <c r="I13" s="54"/>
      <c r="J13" s="54"/>
    </row>
    <row r="14" spans="2:10" ht="12.75" customHeight="1">
      <c r="B14" s="32">
        <f>IF(G4&lt;&gt;0,1,"")</f>
        <v>1</v>
      </c>
      <c r="C14" s="33">
        <f>IF(D8,+D8+14,"")</f>
        <v>2015</v>
      </c>
      <c r="D14" s="39">
        <f>IF(D4&lt;&gt;0,+D4,"")</f>
        <v>654645</v>
      </c>
      <c r="E14" s="39">
        <f>IF(G5&lt;&gt;0,+G5,"")</f>
        <v>2085.44</v>
      </c>
      <c r="F14" s="39">
        <f>IF(AND(SUM(E14),G14&lt;&gt;0),+E14-G14,"")</f>
        <v>1330.08</v>
      </c>
      <c r="G14" s="39">
        <f aca="true" t="shared" si="0" ref="G14:G39">IF(AND(D14,$D$5&lt;&gt;0),ROUND(D14*$D$5/26,2),"")</f>
        <v>755.36</v>
      </c>
      <c r="H14" s="39">
        <f>IF(F14&lt;&gt;0,F14,"")</f>
        <v>1330.08</v>
      </c>
      <c r="I14" s="39">
        <f>IF(G14&lt;&gt;0,G14,"")</f>
        <v>755.36</v>
      </c>
      <c r="J14" s="39">
        <f>IF(AND(SUM(D14),SUM(F14)&lt;&gt;0),+D14-F14,"")</f>
        <v>653314.92</v>
      </c>
    </row>
    <row r="15" spans="2:10" ht="12.75" customHeight="1">
      <c r="B15" s="32">
        <f aca="true" t="shared" si="1" ref="B15:B39">IF($G$4&lt;&gt;0,B14+1,"")</f>
        <v>2</v>
      </c>
      <c r="C15" s="33">
        <f>IF(SUM(C14)&lt;&gt;0,+C14+14,"")</f>
        <v>2029</v>
      </c>
      <c r="D15" s="40">
        <f>IF(SUM(C15)&lt;&gt;0,J14,"")</f>
        <v>653314.92</v>
      </c>
      <c r="E15" s="40">
        <f aca="true" t="shared" si="2" ref="E15:E39">IF($G$5&lt;&gt;0,$G$5,"")</f>
        <v>2085.44</v>
      </c>
      <c r="F15" s="40">
        <f>IF(AND(SUM(E15),G15&lt;&gt;0),+E15-G15,"")</f>
        <v>1331.62</v>
      </c>
      <c r="G15" s="40">
        <f t="shared" si="0"/>
        <v>753.82</v>
      </c>
      <c r="H15" s="40">
        <f>IF(SUM(C15)&lt;&gt;0,H14+F15,"")</f>
        <v>2661.7</v>
      </c>
      <c r="I15" s="40">
        <f>IF(SUM(C15)&lt;&gt;0,I14+G15,"")</f>
        <v>1509.18</v>
      </c>
      <c r="J15" s="40">
        <f>IF(AND(SUM(D15),F15&lt;&gt;0),D15-F15,"")</f>
        <v>651983.3</v>
      </c>
    </row>
    <row r="16" spans="2:10" ht="12.75" customHeight="1">
      <c r="B16" s="32">
        <f t="shared" si="1"/>
        <v>3</v>
      </c>
      <c r="C16" s="33">
        <f aca="true" t="shared" si="3" ref="C16:C31">IF(SUM(C15)&lt;&gt;0,+C15+14,"")</f>
        <v>2043</v>
      </c>
      <c r="D16" s="40">
        <f>IF(SUM(C16)&lt;&gt;0,J15,"")</f>
        <v>651983.3</v>
      </c>
      <c r="E16" s="40">
        <f t="shared" si="2"/>
        <v>2085.44</v>
      </c>
      <c r="F16" s="40">
        <f aca="true" t="shared" si="4" ref="F16:F31">IF(AND(SUM(E16),G16&lt;&gt;0),E16-G16,"")</f>
        <v>1333.15</v>
      </c>
      <c r="G16" s="40">
        <f t="shared" si="0"/>
        <v>752.29</v>
      </c>
      <c r="H16" s="40">
        <f aca="true" t="shared" si="5" ref="H16:H31">IF(SUM(C16)&lt;&gt;0,H15+F16,"")</f>
        <v>3994.85</v>
      </c>
      <c r="I16" s="40">
        <f aca="true" t="shared" si="6" ref="I16:I31">IF(SUM(C16)&lt;&gt;0,I15+G16,"")</f>
        <v>2261.4700000000003</v>
      </c>
      <c r="J16" s="40">
        <f aca="true" t="shared" si="7" ref="J16:J31">IF(AND(SUM(D16),F16&lt;&gt;0),D16-F16,"")</f>
        <v>650650.15</v>
      </c>
    </row>
    <row r="17" spans="2:10" ht="12.75" customHeight="1">
      <c r="B17" s="32">
        <f t="shared" si="1"/>
        <v>4</v>
      </c>
      <c r="C17" s="33">
        <f t="shared" si="3"/>
        <v>2057</v>
      </c>
      <c r="D17" s="40">
        <f aca="true" t="shared" si="8" ref="D17:D32">IF(SUM(C17)&lt;&gt;0,J16,"")</f>
        <v>650650.15</v>
      </c>
      <c r="E17" s="40">
        <f t="shared" si="2"/>
        <v>2085.44</v>
      </c>
      <c r="F17" s="40">
        <f t="shared" si="4"/>
        <v>1334.69</v>
      </c>
      <c r="G17" s="40">
        <f t="shared" si="0"/>
        <v>750.75</v>
      </c>
      <c r="H17" s="40">
        <f t="shared" si="5"/>
        <v>5329.54</v>
      </c>
      <c r="I17" s="40">
        <f t="shared" si="6"/>
        <v>3012.2200000000003</v>
      </c>
      <c r="J17" s="40">
        <f t="shared" si="7"/>
        <v>649315.4600000001</v>
      </c>
    </row>
    <row r="18" spans="2:10" ht="12.75" customHeight="1">
      <c r="B18" s="32">
        <f t="shared" si="1"/>
        <v>5</v>
      </c>
      <c r="C18" s="33">
        <f t="shared" si="3"/>
        <v>2071</v>
      </c>
      <c r="D18" s="40">
        <f t="shared" si="8"/>
        <v>649315.4600000001</v>
      </c>
      <c r="E18" s="40">
        <f t="shared" si="2"/>
        <v>2085.44</v>
      </c>
      <c r="F18" s="40">
        <f t="shared" si="4"/>
        <v>1336.23</v>
      </c>
      <c r="G18" s="40">
        <f t="shared" si="0"/>
        <v>749.21</v>
      </c>
      <c r="H18" s="40">
        <f t="shared" si="5"/>
        <v>6665.77</v>
      </c>
      <c r="I18" s="40">
        <f t="shared" si="6"/>
        <v>3761.4300000000003</v>
      </c>
      <c r="J18" s="40">
        <f t="shared" si="7"/>
        <v>647979.2300000001</v>
      </c>
    </row>
    <row r="19" spans="2:10" ht="12.75" customHeight="1">
      <c r="B19" s="32">
        <f t="shared" si="1"/>
        <v>6</v>
      </c>
      <c r="C19" s="33">
        <f t="shared" si="3"/>
        <v>2085</v>
      </c>
      <c r="D19" s="40">
        <f t="shared" si="8"/>
        <v>647979.2300000001</v>
      </c>
      <c r="E19" s="40">
        <f t="shared" si="2"/>
        <v>2085.44</v>
      </c>
      <c r="F19" s="40">
        <f t="shared" si="4"/>
        <v>1337.77</v>
      </c>
      <c r="G19" s="40">
        <f t="shared" si="0"/>
        <v>747.67</v>
      </c>
      <c r="H19" s="40">
        <f t="shared" si="5"/>
        <v>8003.540000000001</v>
      </c>
      <c r="I19" s="40">
        <f t="shared" si="6"/>
        <v>4509.1</v>
      </c>
      <c r="J19" s="40">
        <f t="shared" si="7"/>
        <v>646641.4600000001</v>
      </c>
    </row>
    <row r="20" spans="2:10" ht="12.75" customHeight="1">
      <c r="B20" s="32">
        <f t="shared" si="1"/>
        <v>7</v>
      </c>
      <c r="C20" s="33">
        <f t="shared" si="3"/>
        <v>2099</v>
      </c>
      <c r="D20" s="40">
        <f t="shared" si="8"/>
        <v>646641.4600000001</v>
      </c>
      <c r="E20" s="40">
        <f t="shared" si="2"/>
        <v>2085.44</v>
      </c>
      <c r="F20" s="40">
        <f t="shared" si="4"/>
        <v>1339.3200000000002</v>
      </c>
      <c r="G20" s="40">
        <f t="shared" si="0"/>
        <v>746.12</v>
      </c>
      <c r="H20" s="40">
        <f t="shared" si="5"/>
        <v>9342.86</v>
      </c>
      <c r="I20" s="40">
        <f t="shared" si="6"/>
        <v>5255.22</v>
      </c>
      <c r="J20" s="40">
        <f t="shared" si="7"/>
        <v>645302.1400000001</v>
      </c>
    </row>
    <row r="21" spans="2:10" ht="12.75" customHeight="1">
      <c r="B21" s="32">
        <f t="shared" si="1"/>
        <v>8</v>
      </c>
      <c r="C21" s="33">
        <f t="shared" si="3"/>
        <v>2113</v>
      </c>
      <c r="D21" s="40">
        <f t="shared" si="8"/>
        <v>645302.1400000001</v>
      </c>
      <c r="E21" s="40">
        <f t="shared" si="2"/>
        <v>2085.44</v>
      </c>
      <c r="F21" s="40">
        <f t="shared" si="4"/>
        <v>1340.8600000000001</v>
      </c>
      <c r="G21" s="40">
        <f t="shared" si="0"/>
        <v>744.58</v>
      </c>
      <c r="H21" s="40">
        <f t="shared" si="5"/>
        <v>10683.720000000001</v>
      </c>
      <c r="I21" s="40">
        <f t="shared" si="6"/>
        <v>5999.8</v>
      </c>
      <c r="J21" s="40">
        <f t="shared" si="7"/>
        <v>643961.2800000001</v>
      </c>
    </row>
    <row r="22" spans="2:10" ht="12.75" customHeight="1">
      <c r="B22" s="32">
        <f t="shared" si="1"/>
        <v>9</v>
      </c>
      <c r="C22" s="33">
        <f t="shared" si="3"/>
        <v>2127</v>
      </c>
      <c r="D22" s="40">
        <f t="shared" si="8"/>
        <v>643961.2800000001</v>
      </c>
      <c r="E22" s="40">
        <f t="shared" si="2"/>
        <v>2085.44</v>
      </c>
      <c r="F22" s="40">
        <f t="shared" si="4"/>
        <v>1342.41</v>
      </c>
      <c r="G22" s="40">
        <f t="shared" si="0"/>
        <v>743.03</v>
      </c>
      <c r="H22" s="40">
        <f t="shared" si="5"/>
        <v>12026.130000000001</v>
      </c>
      <c r="I22" s="40">
        <f t="shared" si="6"/>
        <v>6742.83</v>
      </c>
      <c r="J22" s="40">
        <f t="shared" si="7"/>
        <v>642618.8700000001</v>
      </c>
    </row>
    <row r="23" spans="2:10" ht="12.75" customHeight="1">
      <c r="B23" s="32">
        <f t="shared" si="1"/>
        <v>10</v>
      </c>
      <c r="C23" s="33">
        <f t="shared" si="3"/>
        <v>2141</v>
      </c>
      <c r="D23" s="40">
        <f t="shared" si="8"/>
        <v>642618.8700000001</v>
      </c>
      <c r="E23" s="40">
        <f t="shared" si="2"/>
        <v>2085.44</v>
      </c>
      <c r="F23" s="40">
        <f t="shared" si="4"/>
        <v>1343.96</v>
      </c>
      <c r="G23" s="40">
        <f t="shared" si="0"/>
        <v>741.48</v>
      </c>
      <c r="H23" s="40">
        <f t="shared" si="5"/>
        <v>13370.09</v>
      </c>
      <c r="I23" s="40">
        <f t="shared" si="6"/>
        <v>7484.3099999999995</v>
      </c>
      <c r="J23" s="40">
        <f t="shared" si="7"/>
        <v>641274.9100000001</v>
      </c>
    </row>
    <row r="24" spans="2:10" ht="12.75" customHeight="1">
      <c r="B24" s="32">
        <f t="shared" si="1"/>
        <v>11</v>
      </c>
      <c r="C24" s="33">
        <f t="shared" si="3"/>
        <v>2155</v>
      </c>
      <c r="D24" s="40">
        <f t="shared" si="8"/>
        <v>641274.9100000001</v>
      </c>
      <c r="E24" s="40">
        <f t="shared" si="2"/>
        <v>2085.44</v>
      </c>
      <c r="F24" s="40">
        <f t="shared" si="4"/>
        <v>1345.5100000000002</v>
      </c>
      <c r="G24" s="40">
        <f t="shared" si="0"/>
        <v>739.93</v>
      </c>
      <c r="H24" s="40">
        <f t="shared" si="5"/>
        <v>14715.6</v>
      </c>
      <c r="I24" s="40">
        <f t="shared" si="6"/>
        <v>8224.24</v>
      </c>
      <c r="J24" s="40">
        <f t="shared" si="7"/>
        <v>639929.4000000001</v>
      </c>
    </row>
    <row r="25" spans="2:10" ht="12.75" customHeight="1">
      <c r="B25" s="32">
        <f t="shared" si="1"/>
        <v>12</v>
      </c>
      <c r="C25" s="33">
        <f t="shared" si="3"/>
        <v>2169</v>
      </c>
      <c r="D25" s="40">
        <f t="shared" si="8"/>
        <v>639929.4000000001</v>
      </c>
      <c r="E25" s="40">
        <f t="shared" si="2"/>
        <v>2085.44</v>
      </c>
      <c r="F25" s="40">
        <f t="shared" si="4"/>
        <v>1347.06</v>
      </c>
      <c r="G25" s="40">
        <f t="shared" si="0"/>
        <v>738.38</v>
      </c>
      <c r="H25" s="40">
        <f t="shared" si="5"/>
        <v>16062.66</v>
      </c>
      <c r="I25" s="40">
        <f t="shared" si="6"/>
        <v>8962.619999999999</v>
      </c>
      <c r="J25" s="40">
        <f t="shared" si="7"/>
        <v>638582.3400000001</v>
      </c>
    </row>
    <row r="26" spans="2:10" ht="12.75" customHeight="1">
      <c r="B26" s="32">
        <f t="shared" si="1"/>
        <v>13</v>
      </c>
      <c r="C26" s="33">
        <f t="shared" si="3"/>
        <v>2183</v>
      </c>
      <c r="D26" s="40">
        <f t="shared" si="8"/>
        <v>638582.3400000001</v>
      </c>
      <c r="E26" s="40">
        <f t="shared" si="2"/>
        <v>2085.44</v>
      </c>
      <c r="F26" s="40">
        <f t="shared" si="4"/>
        <v>1348.6100000000001</v>
      </c>
      <c r="G26" s="40">
        <f t="shared" si="0"/>
        <v>736.83</v>
      </c>
      <c r="H26" s="40">
        <f t="shared" si="5"/>
        <v>17411.27</v>
      </c>
      <c r="I26" s="40">
        <f t="shared" si="6"/>
        <v>9699.449999999999</v>
      </c>
      <c r="J26" s="40">
        <f t="shared" si="7"/>
        <v>637233.7300000001</v>
      </c>
    </row>
    <row r="27" spans="2:10" ht="12.75" customHeight="1">
      <c r="B27" s="32">
        <f t="shared" si="1"/>
        <v>14</v>
      </c>
      <c r="C27" s="33">
        <f t="shared" si="3"/>
        <v>2197</v>
      </c>
      <c r="D27" s="40">
        <f t="shared" si="8"/>
        <v>637233.7300000001</v>
      </c>
      <c r="E27" s="40">
        <f t="shared" si="2"/>
        <v>2085.44</v>
      </c>
      <c r="F27" s="40">
        <f t="shared" si="4"/>
        <v>1350.17</v>
      </c>
      <c r="G27" s="40">
        <f t="shared" si="0"/>
        <v>735.27</v>
      </c>
      <c r="H27" s="40">
        <f t="shared" si="5"/>
        <v>18761.440000000002</v>
      </c>
      <c r="I27" s="40">
        <f t="shared" si="6"/>
        <v>10434.72</v>
      </c>
      <c r="J27" s="40">
        <f t="shared" si="7"/>
        <v>635883.56</v>
      </c>
    </row>
    <row r="28" spans="2:10" ht="12.75" customHeight="1">
      <c r="B28" s="32">
        <f t="shared" si="1"/>
        <v>15</v>
      </c>
      <c r="C28" s="33">
        <f t="shared" si="3"/>
        <v>2211</v>
      </c>
      <c r="D28" s="40">
        <f t="shared" si="8"/>
        <v>635883.56</v>
      </c>
      <c r="E28" s="40">
        <f t="shared" si="2"/>
        <v>2085.44</v>
      </c>
      <c r="F28" s="40">
        <f t="shared" si="4"/>
        <v>1351.73</v>
      </c>
      <c r="G28" s="40">
        <f t="shared" si="0"/>
        <v>733.71</v>
      </c>
      <c r="H28" s="40">
        <f t="shared" si="5"/>
        <v>20113.170000000002</v>
      </c>
      <c r="I28" s="40">
        <f t="shared" si="6"/>
        <v>11168.43</v>
      </c>
      <c r="J28" s="40">
        <f t="shared" si="7"/>
        <v>634531.8300000001</v>
      </c>
    </row>
    <row r="29" spans="2:10" ht="12.75" customHeight="1">
      <c r="B29" s="32">
        <f t="shared" si="1"/>
        <v>16</v>
      </c>
      <c r="C29" s="33">
        <f t="shared" si="3"/>
        <v>2225</v>
      </c>
      <c r="D29" s="40">
        <f t="shared" si="8"/>
        <v>634531.8300000001</v>
      </c>
      <c r="E29" s="40">
        <f t="shared" si="2"/>
        <v>2085.44</v>
      </c>
      <c r="F29" s="40">
        <f t="shared" si="4"/>
        <v>1353.29</v>
      </c>
      <c r="G29" s="40">
        <f t="shared" si="0"/>
        <v>732.15</v>
      </c>
      <c r="H29" s="40">
        <f t="shared" si="5"/>
        <v>21466.460000000003</v>
      </c>
      <c r="I29" s="40">
        <f t="shared" si="6"/>
        <v>11900.58</v>
      </c>
      <c r="J29" s="40">
        <f t="shared" si="7"/>
        <v>633178.54</v>
      </c>
    </row>
    <row r="30" spans="2:10" ht="12.75" customHeight="1">
      <c r="B30" s="32">
        <f t="shared" si="1"/>
        <v>17</v>
      </c>
      <c r="C30" s="33">
        <f t="shared" si="3"/>
        <v>2239</v>
      </c>
      <c r="D30" s="40">
        <f t="shared" si="8"/>
        <v>633178.54</v>
      </c>
      <c r="E30" s="40">
        <f t="shared" si="2"/>
        <v>2085.44</v>
      </c>
      <c r="F30" s="40">
        <f t="shared" si="4"/>
        <v>1354.85</v>
      </c>
      <c r="G30" s="40">
        <f t="shared" si="0"/>
        <v>730.59</v>
      </c>
      <c r="H30" s="40">
        <f t="shared" si="5"/>
        <v>22821.31</v>
      </c>
      <c r="I30" s="40">
        <f t="shared" si="6"/>
        <v>12631.17</v>
      </c>
      <c r="J30" s="40">
        <f t="shared" si="7"/>
        <v>631823.6900000001</v>
      </c>
    </row>
    <row r="31" spans="2:10" ht="12.75" customHeight="1">
      <c r="B31" s="32">
        <f t="shared" si="1"/>
        <v>18</v>
      </c>
      <c r="C31" s="33">
        <f t="shared" si="3"/>
        <v>2253</v>
      </c>
      <c r="D31" s="40">
        <f t="shared" si="8"/>
        <v>631823.6900000001</v>
      </c>
      <c r="E31" s="40">
        <f t="shared" si="2"/>
        <v>2085.44</v>
      </c>
      <c r="F31" s="40">
        <f t="shared" si="4"/>
        <v>1356.41</v>
      </c>
      <c r="G31" s="40">
        <f t="shared" si="0"/>
        <v>729.03</v>
      </c>
      <c r="H31" s="40">
        <f t="shared" si="5"/>
        <v>24177.72</v>
      </c>
      <c r="I31" s="40">
        <f t="shared" si="6"/>
        <v>13360.2</v>
      </c>
      <c r="J31" s="40">
        <f t="shared" si="7"/>
        <v>630467.28</v>
      </c>
    </row>
    <row r="32" spans="2:10" ht="12.75" customHeight="1">
      <c r="B32" s="32">
        <f t="shared" si="1"/>
        <v>19</v>
      </c>
      <c r="C32" s="33">
        <f aca="true" t="shared" si="9" ref="C32:C39">IF(SUM(C31)&lt;&gt;0,+C31+14,"")</f>
        <v>2267</v>
      </c>
      <c r="D32" s="40">
        <f t="shared" si="8"/>
        <v>630467.28</v>
      </c>
      <c r="E32" s="40">
        <f t="shared" si="2"/>
        <v>2085.44</v>
      </c>
      <c r="F32" s="40">
        <f aca="true" t="shared" si="10" ref="F32:F39">IF(AND(SUM(E32),G32&lt;&gt;0),E32-G32,"")</f>
        <v>1357.98</v>
      </c>
      <c r="G32" s="40">
        <f t="shared" si="0"/>
        <v>727.46</v>
      </c>
      <c r="H32" s="40">
        <f aca="true" t="shared" si="11" ref="H32:H39">IF(SUM(C32)&lt;&gt;0,H31+F32,"")</f>
        <v>25535.7</v>
      </c>
      <c r="I32" s="40">
        <f aca="true" t="shared" si="12" ref="I32:I39">IF(SUM(C32)&lt;&gt;0,I31+G32,"")</f>
        <v>14087.66</v>
      </c>
      <c r="J32" s="40">
        <f aca="true" t="shared" si="13" ref="J32:J39">IF(AND(SUM(D32),F32&lt;&gt;0),D32-F32,"")</f>
        <v>629109.3</v>
      </c>
    </row>
    <row r="33" spans="2:10" ht="12.75" customHeight="1">
      <c r="B33" s="32">
        <f t="shared" si="1"/>
        <v>20</v>
      </c>
      <c r="C33" s="33">
        <f t="shared" si="9"/>
        <v>2281</v>
      </c>
      <c r="D33" s="40">
        <f aca="true" t="shared" si="14" ref="D33:D39">IF(SUM(C33)&lt;&gt;0,J32,"")</f>
        <v>629109.3</v>
      </c>
      <c r="E33" s="40">
        <f t="shared" si="2"/>
        <v>2085.44</v>
      </c>
      <c r="F33" s="40">
        <f t="shared" si="10"/>
        <v>1359.54</v>
      </c>
      <c r="G33" s="40">
        <f t="shared" si="0"/>
        <v>725.9</v>
      </c>
      <c r="H33" s="40">
        <f t="shared" si="11"/>
        <v>26895.24</v>
      </c>
      <c r="I33" s="40">
        <f t="shared" si="12"/>
        <v>14813.56</v>
      </c>
      <c r="J33" s="40">
        <f t="shared" si="13"/>
        <v>627749.76</v>
      </c>
    </row>
    <row r="34" spans="2:10" ht="12.75" customHeight="1">
      <c r="B34" s="32">
        <f t="shared" si="1"/>
        <v>21</v>
      </c>
      <c r="C34" s="33">
        <f t="shared" si="9"/>
        <v>2295</v>
      </c>
      <c r="D34" s="40">
        <f t="shared" si="14"/>
        <v>627749.76</v>
      </c>
      <c r="E34" s="40">
        <f t="shared" si="2"/>
        <v>2085.44</v>
      </c>
      <c r="F34" s="40">
        <f t="shared" si="10"/>
        <v>1361.1100000000001</v>
      </c>
      <c r="G34" s="40">
        <f t="shared" si="0"/>
        <v>724.33</v>
      </c>
      <c r="H34" s="40">
        <f t="shared" si="11"/>
        <v>28256.350000000002</v>
      </c>
      <c r="I34" s="40">
        <f t="shared" si="12"/>
        <v>15537.89</v>
      </c>
      <c r="J34" s="40">
        <f t="shared" si="13"/>
        <v>626388.65</v>
      </c>
    </row>
    <row r="35" spans="2:10" ht="12.75" customHeight="1">
      <c r="B35" s="32">
        <f t="shared" si="1"/>
        <v>22</v>
      </c>
      <c r="C35" s="33">
        <f t="shared" si="9"/>
        <v>2309</v>
      </c>
      <c r="D35" s="40">
        <f t="shared" si="14"/>
        <v>626388.65</v>
      </c>
      <c r="E35" s="40">
        <f t="shared" si="2"/>
        <v>2085.44</v>
      </c>
      <c r="F35" s="40">
        <f t="shared" si="10"/>
        <v>1362.68</v>
      </c>
      <c r="G35" s="40">
        <f t="shared" si="0"/>
        <v>722.76</v>
      </c>
      <c r="H35" s="40">
        <f t="shared" si="11"/>
        <v>29619.030000000002</v>
      </c>
      <c r="I35" s="40">
        <f t="shared" si="12"/>
        <v>16260.65</v>
      </c>
      <c r="J35" s="40">
        <f t="shared" si="13"/>
        <v>625025.97</v>
      </c>
    </row>
    <row r="36" spans="2:10" ht="12.75" customHeight="1">
      <c r="B36" s="32">
        <f t="shared" si="1"/>
        <v>23</v>
      </c>
      <c r="C36" s="33">
        <f t="shared" si="9"/>
        <v>2323</v>
      </c>
      <c r="D36" s="40">
        <f t="shared" si="14"/>
        <v>625025.97</v>
      </c>
      <c r="E36" s="40">
        <f t="shared" si="2"/>
        <v>2085.44</v>
      </c>
      <c r="F36" s="40">
        <f t="shared" si="10"/>
        <v>1364.2600000000002</v>
      </c>
      <c r="G36" s="40">
        <f t="shared" si="0"/>
        <v>721.18</v>
      </c>
      <c r="H36" s="40">
        <f t="shared" si="11"/>
        <v>30983.29</v>
      </c>
      <c r="I36" s="40">
        <f t="shared" si="12"/>
        <v>16981.829999999998</v>
      </c>
      <c r="J36" s="40">
        <f t="shared" si="13"/>
        <v>623661.71</v>
      </c>
    </row>
    <row r="37" spans="2:10" ht="12.75" customHeight="1">
      <c r="B37" s="32">
        <f t="shared" si="1"/>
        <v>24</v>
      </c>
      <c r="C37" s="33">
        <f t="shared" si="9"/>
        <v>2337</v>
      </c>
      <c r="D37" s="40">
        <f t="shared" si="14"/>
        <v>623661.71</v>
      </c>
      <c r="E37" s="40">
        <f t="shared" si="2"/>
        <v>2085.44</v>
      </c>
      <c r="F37" s="40">
        <f t="shared" si="10"/>
        <v>1365.83</v>
      </c>
      <c r="G37" s="40">
        <f t="shared" si="0"/>
        <v>719.61</v>
      </c>
      <c r="H37" s="40">
        <f t="shared" si="11"/>
        <v>32349.120000000003</v>
      </c>
      <c r="I37" s="40">
        <f t="shared" si="12"/>
        <v>17701.44</v>
      </c>
      <c r="J37" s="40">
        <f t="shared" si="13"/>
        <v>622295.88</v>
      </c>
    </row>
    <row r="38" spans="2:10" ht="12.75" customHeight="1">
      <c r="B38" s="32">
        <f t="shared" si="1"/>
        <v>25</v>
      </c>
      <c r="C38" s="33">
        <f t="shared" si="9"/>
        <v>2351</v>
      </c>
      <c r="D38" s="40">
        <f t="shared" si="14"/>
        <v>622295.88</v>
      </c>
      <c r="E38" s="40">
        <f t="shared" si="2"/>
        <v>2085.44</v>
      </c>
      <c r="F38" s="40">
        <f t="shared" si="10"/>
        <v>1367.41</v>
      </c>
      <c r="G38" s="40">
        <f t="shared" si="0"/>
        <v>718.03</v>
      </c>
      <c r="H38" s="40">
        <f t="shared" si="11"/>
        <v>33716.530000000006</v>
      </c>
      <c r="I38" s="40">
        <f t="shared" si="12"/>
        <v>18419.469999999998</v>
      </c>
      <c r="J38" s="40">
        <f t="shared" si="13"/>
        <v>620928.47</v>
      </c>
    </row>
    <row r="39" spans="2:10" ht="12.75" customHeight="1">
      <c r="B39" s="32">
        <f t="shared" si="1"/>
        <v>26</v>
      </c>
      <c r="C39" s="33">
        <f t="shared" si="9"/>
        <v>2365</v>
      </c>
      <c r="D39" s="40">
        <f t="shared" si="14"/>
        <v>620928.47</v>
      </c>
      <c r="E39" s="40">
        <f t="shared" si="2"/>
        <v>2085.44</v>
      </c>
      <c r="F39" s="40">
        <f t="shared" si="10"/>
        <v>1368.98</v>
      </c>
      <c r="G39" s="40">
        <f t="shared" si="0"/>
        <v>716.46</v>
      </c>
      <c r="H39" s="40">
        <f t="shared" si="11"/>
        <v>35085.51000000001</v>
      </c>
      <c r="I39" s="40">
        <f t="shared" si="12"/>
        <v>19135.929999999997</v>
      </c>
      <c r="J39" s="40">
        <f t="shared" si="13"/>
        <v>619559.49</v>
      </c>
    </row>
    <row r="40" spans="2:10" ht="9.7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9.5" customHeight="1">
      <c r="B41" s="2" t="s">
        <v>5</v>
      </c>
      <c r="C41" s="3"/>
      <c r="D41" s="3"/>
      <c r="E41" s="3"/>
      <c r="F41" s="9"/>
      <c r="G41" s="9"/>
      <c r="H41" s="8"/>
      <c r="I41" s="8"/>
      <c r="J41" s="8"/>
    </row>
    <row r="42" spans="2:10" ht="12" customHeight="1">
      <c r="B42" s="49" t="s">
        <v>6</v>
      </c>
      <c r="C42" s="51" t="s">
        <v>25</v>
      </c>
      <c r="D42" s="49" t="s">
        <v>1</v>
      </c>
      <c r="E42" s="49" t="s">
        <v>3</v>
      </c>
      <c r="F42" s="49" t="s">
        <v>4</v>
      </c>
      <c r="G42" s="53" t="s">
        <v>28</v>
      </c>
      <c r="I42" s="8"/>
      <c r="J42" s="5"/>
    </row>
    <row r="43" spans="2:10" ht="15.75" customHeight="1">
      <c r="B43" s="50"/>
      <c r="C43" s="52"/>
      <c r="D43" s="50"/>
      <c r="E43" s="50"/>
      <c r="F43" s="50"/>
      <c r="G43" s="54"/>
      <c r="I43" s="8"/>
      <c r="J43" s="5"/>
    </row>
    <row r="44" spans="2:10" ht="12.75" customHeight="1">
      <c r="B44" s="31">
        <f>IF(SUM(C44)&lt;&gt;0,D7+1,"")</f>
        <v>2006</v>
      </c>
      <c r="C44" s="39">
        <f>IF(SUM(J39)&lt;&gt;0,VLOOKUP(AC181,C14:J39,8),"")</f>
        <v>637233.7300000001</v>
      </c>
      <c r="D44" s="39">
        <f>IF(SUM(J39)&lt;&gt;0,IF($G$4&lt;AF184,G4,AF184),"")</f>
        <v>54221.44</v>
      </c>
      <c r="E44" s="39">
        <f>IF(SUM(J39)&lt;&gt;0,C44-G44,"")</f>
        <v>35615.320000000065</v>
      </c>
      <c r="F44" s="39">
        <f>IF(SUM(J39)&lt;&gt;0,D44-E44,"")</f>
        <v>18606.119999999937</v>
      </c>
      <c r="G44" s="39">
        <f>IF(SUM(J39)&lt;&gt;0,ROUND(PV(D5/26,AE185,-(G5)),2),"")</f>
        <v>601618.41</v>
      </c>
      <c r="I44" s="5"/>
      <c r="J44" s="5"/>
    </row>
    <row r="45" spans="2:10" ht="12.75" customHeight="1">
      <c r="B45" s="32">
        <f>IF(SUM(C45)&lt;&gt;0,B44+1,"")</f>
        <v>2007</v>
      </c>
      <c r="C45" s="40">
        <f>IF(SUM(G44)&lt;&gt;0,G44,"")</f>
        <v>601618.41</v>
      </c>
      <c r="D45" s="40">
        <f aca="true" t="shared" si="15" ref="D45:D73">IF(SUM(G44)&lt;&gt;0,IF($G$4&lt;AF185,$G$4,AF185),"")</f>
        <v>54221.44</v>
      </c>
      <c r="E45" s="40">
        <f>IF(SUM(G44)&lt;&gt;0,IF((C45-G45)&gt;C45,C45,(C45-G45)),"")</f>
        <v>36699.46000000008</v>
      </c>
      <c r="F45" s="40">
        <f>IF(SUM(G44)&lt;&gt;0,D45-E45,"")</f>
        <v>17521.979999999923</v>
      </c>
      <c r="G45" s="40">
        <f aca="true" t="shared" si="16" ref="G45:G73">IF(SUM(G44)&lt;&gt;0,ROUND(PV($D$5/26,AE186,-$G$5),2),"")</f>
        <v>564918.95</v>
      </c>
      <c r="I45" s="5"/>
      <c r="J45" s="5"/>
    </row>
    <row r="46" spans="2:10" ht="12.75" customHeight="1">
      <c r="B46" s="32">
        <f aca="true" t="shared" si="17" ref="B46:B61">IF(SUM(C46)&lt;&gt;0,B45+1,"")</f>
        <v>2008</v>
      </c>
      <c r="C46" s="40">
        <f aca="true" t="shared" si="18" ref="C46:C61">IF(SUM(G45)&lt;&gt;0,G45,"")</f>
        <v>564918.95</v>
      </c>
      <c r="D46" s="40">
        <f t="shared" si="15"/>
        <v>54221.44</v>
      </c>
      <c r="E46" s="40">
        <f aca="true" t="shared" si="19" ref="E46:E61">IF(SUM(G45)&lt;&gt;0,IF((C46-G46)&gt;C46,C46,(C46-G46)),"")</f>
        <v>37816.46999999997</v>
      </c>
      <c r="F46" s="40">
        <f aca="true" t="shared" si="20" ref="F46:F61">IF(SUM(G45)&lt;&gt;0,D46-E46,"")</f>
        <v>16404.97000000003</v>
      </c>
      <c r="G46" s="40">
        <f t="shared" si="16"/>
        <v>527102.48</v>
      </c>
      <c r="I46" s="5"/>
      <c r="J46" s="5"/>
    </row>
    <row r="47" spans="2:10" ht="12.75" customHeight="1">
      <c r="B47" s="32">
        <f t="shared" si="17"/>
        <v>2009</v>
      </c>
      <c r="C47" s="40">
        <f t="shared" si="18"/>
        <v>527102.48</v>
      </c>
      <c r="D47" s="40">
        <f t="shared" si="15"/>
        <v>54221.44</v>
      </c>
      <c r="E47" s="40">
        <f t="shared" si="19"/>
        <v>38967.47999999998</v>
      </c>
      <c r="F47" s="40">
        <f t="shared" si="20"/>
        <v>15253.960000000021</v>
      </c>
      <c r="G47" s="40">
        <f t="shared" si="16"/>
        <v>488135</v>
      </c>
      <c r="I47" s="5"/>
      <c r="J47" s="5"/>
    </row>
    <row r="48" spans="2:10" ht="12.75" customHeight="1">
      <c r="B48" s="32">
        <f t="shared" si="17"/>
        <v>2010</v>
      </c>
      <c r="C48" s="40">
        <f t="shared" si="18"/>
        <v>488135</v>
      </c>
      <c r="D48" s="40">
        <f t="shared" si="15"/>
        <v>54221.44</v>
      </c>
      <c r="E48" s="40">
        <f t="shared" si="19"/>
        <v>40153.52000000002</v>
      </c>
      <c r="F48" s="40">
        <f t="shared" si="20"/>
        <v>14067.919999999984</v>
      </c>
      <c r="G48" s="40">
        <f t="shared" si="16"/>
        <v>447981.48</v>
      </c>
      <c r="I48" s="5"/>
      <c r="J48" s="5"/>
    </row>
    <row r="49" spans="2:10" ht="12.75" customHeight="1">
      <c r="B49" s="32">
        <f t="shared" si="17"/>
        <v>2011</v>
      </c>
      <c r="C49" s="40">
        <f t="shared" si="18"/>
        <v>447981.48</v>
      </c>
      <c r="D49" s="40">
        <f t="shared" si="15"/>
        <v>54221.44</v>
      </c>
      <c r="E49" s="40">
        <f t="shared" si="19"/>
        <v>41375.659999999974</v>
      </c>
      <c r="F49" s="40">
        <f t="shared" si="20"/>
        <v>12845.780000000028</v>
      </c>
      <c r="G49" s="40">
        <f t="shared" si="16"/>
        <v>406605.82</v>
      </c>
      <c r="I49" s="5"/>
      <c r="J49" s="5"/>
    </row>
    <row r="50" spans="2:10" ht="12.75" customHeight="1">
      <c r="B50" s="32">
        <f t="shared" si="17"/>
        <v>2012</v>
      </c>
      <c r="C50" s="40">
        <f t="shared" si="18"/>
        <v>406605.82</v>
      </c>
      <c r="D50" s="40">
        <f t="shared" si="15"/>
        <v>54221.44</v>
      </c>
      <c r="E50" s="40">
        <f t="shared" si="19"/>
        <v>42635</v>
      </c>
      <c r="F50" s="40">
        <f t="shared" si="20"/>
        <v>11586.440000000002</v>
      </c>
      <c r="G50" s="40">
        <f t="shared" si="16"/>
        <v>363970.82</v>
      </c>
      <c r="I50" s="5"/>
      <c r="J50" s="5"/>
    </row>
    <row r="51" spans="2:10" ht="12.75" customHeight="1">
      <c r="B51" s="32">
        <f t="shared" si="17"/>
        <v>2013</v>
      </c>
      <c r="C51" s="40">
        <f t="shared" si="18"/>
        <v>363970.82</v>
      </c>
      <c r="D51" s="40">
        <f t="shared" si="15"/>
        <v>54221.44</v>
      </c>
      <c r="E51" s="40">
        <f t="shared" si="19"/>
        <v>43932.67999999999</v>
      </c>
      <c r="F51" s="40">
        <f t="shared" si="20"/>
        <v>10288.76000000001</v>
      </c>
      <c r="G51" s="40">
        <f t="shared" si="16"/>
        <v>320038.14</v>
      </c>
      <c r="I51" s="5"/>
      <c r="J51" s="5"/>
    </row>
    <row r="52" spans="2:10" ht="12.75" customHeight="1">
      <c r="B52" s="32">
        <f t="shared" si="17"/>
        <v>2014</v>
      </c>
      <c r="C52" s="40">
        <f t="shared" si="18"/>
        <v>320038.14</v>
      </c>
      <c r="D52" s="40">
        <f t="shared" si="15"/>
        <v>54221.44</v>
      </c>
      <c r="E52" s="40">
        <f t="shared" si="19"/>
        <v>45269.830000000016</v>
      </c>
      <c r="F52" s="40">
        <f t="shared" si="20"/>
        <v>8951.609999999986</v>
      </c>
      <c r="G52" s="40">
        <f t="shared" si="16"/>
        <v>274768.31</v>
      </c>
      <c r="I52" s="5"/>
      <c r="J52" s="5"/>
    </row>
    <row r="53" spans="2:10" ht="12.75" customHeight="1">
      <c r="B53" s="32">
        <f t="shared" si="17"/>
        <v>2015</v>
      </c>
      <c r="C53" s="40">
        <f t="shared" si="18"/>
        <v>274768.31</v>
      </c>
      <c r="D53" s="40">
        <f t="shared" si="15"/>
        <v>54221.44</v>
      </c>
      <c r="E53" s="40">
        <f t="shared" si="19"/>
        <v>46647.70999999999</v>
      </c>
      <c r="F53" s="40">
        <f t="shared" si="20"/>
        <v>7573.7300000000105</v>
      </c>
      <c r="G53" s="40">
        <f t="shared" si="16"/>
        <v>228120.6</v>
      </c>
      <c r="I53" s="5"/>
      <c r="J53" s="5"/>
    </row>
    <row r="54" spans="2:10" ht="12.75" customHeight="1">
      <c r="B54" s="32">
        <f t="shared" si="17"/>
        <v>2016</v>
      </c>
      <c r="C54" s="40">
        <f t="shared" si="18"/>
        <v>228120.6</v>
      </c>
      <c r="D54" s="40">
        <f t="shared" si="15"/>
        <v>54221.44</v>
      </c>
      <c r="E54" s="40">
        <f t="shared" si="19"/>
        <v>48067.5</v>
      </c>
      <c r="F54" s="40">
        <f t="shared" si="20"/>
        <v>6153.940000000002</v>
      </c>
      <c r="G54" s="40">
        <f t="shared" si="16"/>
        <v>180053.1</v>
      </c>
      <c r="I54" s="5"/>
      <c r="J54" s="5"/>
    </row>
    <row r="55" spans="2:10" ht="12.75" customHeight="1">
      <c r="B55" s="32">
        <f t="shared" si="17"/>
        <v>2017</v>
      </c>
      <c r="C55" s="40">
        <f t="shared" si="18"/>
        <v>180053.1</v>
      </c>
      <c r="D55" s="40">
        <f t="shared" si="15"/>
        <v>54221.44</v>
      </c>
      <c r="E55" s="40">
        <f t="shared" si="19"/>
        <v>49530.53</v>
      </c>
      <c r="F55" s="40">
        <f t="shared" si="20"/>
        <v>4690.9100000000035</v>
      </c>
      <c r="G55" s="40">
        <f t="shared" si="16"/>
        <v>130522.57</v>
      </c>
      <c r="I55" s="5"/>
      <c r="J55" s="5"/>
    </row>
    <row r="56" spans="2:10" ht="12.75" customHeight="1">
      <c r="B56" s="32">
        <f t="shared" si="17"/>
        <v>2018</v>
      </c>
      <c r="C56" s="40">
        <f t="shared" si="18"/>
        <v>130522.57</v>
      </c>
      <c r="D56" s="40">
        <f t="shared" si="15"/>
        <v>54221.44</v>
      </c>
      <c r="E56" s="40">
        <f t="shared" si="19"/>
        <v>51038.06000000001</v>
      </c>
      <c r="F56" s="40">
        <f t="shared" si="20"/>
        <v>3183.37999999999</v>
      </c>
      <c r="G56" s="40">
        <f t="shared" si="16"/>
        <v>79484.51</v>
      </c>
      <c r="I56" s="5"/>
      <c r="J56" s="5"/>
    </row>
    <row r="57" spans="2:10" ht="12.75" customHeight="1">
      <c r="B57" s="32">
        <f t="shared" si="17"/>
        <v>2019</v>
      </c>
      <c r="C57" s="40">
        <f t="shared" si="18"/>
        <v>79484.51</v>
      </c>
      <c r="D57" s="40">
        <f t="shared" si="15"/>
        <v>54221.44</v>
      </c>
      <c r="E57" s="40">
        <f t="shared" si="19"/>
        <v>52591.5</v>
      </c>
      <c r="F57" s="40">
        <f t="shared" si="20"/>
        <v>1629.9400000000023</v>
      </c>
      <c r="G57" s="40">
        <f t="shared" si="16"/>
        <v>26893.01</v>
      </c>
      <c r="I57" s="5"/>
      <c r="J57" s="5"/>
    </row>
    <row r="58" spans="2:10" ht="12.75" customHeight="1">
      <c r="B58" s="32">
        <f t="shared" si="17"/>
        <v>2020</v>
      </c>
      <c r="C58" s="40">
        <f t="shared" si="18"/>
        <v>26893.01</v>
      </c>
      <c r="D58" s="40">
        <f t="shared" si="15"/>
        <v>27110.72</v>
      </c>
      <c r="E58" s="40">
        <f t="shared" si="19"/>
        <v>26893.01</v>
      </c>
      <c r="F58" s="40">
        <f t="shared" si="20"/>
        <v>217.71000000000276</v>
      </c>
      <c r="G58" s="40">
        <f t="shared" si="16"/>
        <v>0</v>
      </c>
      <c r="I58" s="5"/>
      <c r="J58" s="5"/>
    </row>
    <row r="59" spans="2:10" ht="12.75" customHeight="1">
      <c r="B59" s="32">
        <f t="shared" si="17"/>
      </c>
      <c r="C59" s="40">
        <f t="shared" si="18"/>
      </c>
      <c r="D59" s="40">
        <f t="shared" si="15"/>
      </c>
      <c r="E59" s="40">
        <f t="shared" si="19"/>
      </c>
      <c r="F59" s="40">
        <f t="shared" si="20"/>
      </c>
      <c r="G59" s="40">
        <f t="shared" si="16"/>
      </c>
      <c r="I59" s="5"/>
      <c r="J59" s="5"/>
    </row>
    <row r="60" spans="2:10" ht="12.75" customHeight="1">
      <c r="B60" s="32">
        <f t="shared" si="17"/>
      </c>
      <c r="C60" s="40">
        <f t="shared" si="18"/>
      </c>
      <c r="D60" s="40">
        <f t="shared" si="15"/>
      </c>
      <c r="E60" s="40">
        <f t="shared" si="19"/>
      </c>
      <c r="F60" s="40">
        <f t="shared" si="20"/>
      </c>
      <c r="G60" s="40">
        <f t="shared" si="16"/>
      </c>
      <c r="I60" s="5"/>
      <c r="J60" s="5"/>
    </row>
    <row r="61" spans="2:10" ht="12.75" customHeight="1">
      <c r="B61" s="32">
        <f t="shared" si="17"/>
      </c>
      <c r="C61" s="40">
        <f t="shared" si="18"/>
      </c>
      <c r="D61" s="40">
        <f t="shared" si="15"/>
      </c>
      <c r="E61" s="40">
        <f t="shared" si="19"/>
      </c>
      <c r="F61" s="40">
        <f t="shared" si="20"/>
      </c>
      <c r="G61" s="40">
        <f t="shared" si="16"/>
      </c>
      <c r="I61" s="5"/>
      <c r="J61" s="5"/>
    </row>
    <row r="62" spans="2:10" ht="12.75" customHeight="1">
      <c r="B62" s="32">
        <f aca="true" t="shared" si="21" ref="B62:B73">IF(SUM(C62)&lt;&gt;0,B61+1,"")</f>
      </c>
      <c r="C62" s="40">
        <f aca="true" t="shared" si="22" ref="C62:C73">IF(SUM(G61)&lt;&gt;0,G61,"")</f>
      </c>
      <c r="D62" s="40">
        <f t="shared" si="15"/>
      </c>
      <c r="E62" s="40">
        <f aca="true" t="shared" si="23" ref="E62:E73">IF(SUM(G61)&lt;&gt;0,IF((C62-G62)&gt;C62,C62,(C62-G62)),"")</f>
      </c>
      <c r="F62" s="40">
        <f aca="true" t="shared" si="24" ref="F62:F73">IF(SUM(G61)&lt;&gt;0,D62-E62,"")</f>
      </c>
      <c r="G62" s="40">
        <f t="shared" si="16"/>
      </c>
      <c r="I62" s="5"/>
      <c r="J62" s="5"/>
    </row>
    <row r="63" spans="2:10" ht="12.75" customHeight="1">
      <c r="B63" s="32">
        <f t="shared" si="21"/>
      </c>
      <c r="C63" s="40">
        <f t="shared" si="22"/>
      </c>
      <c r="D63" s="40">
        <f t="shared" si="15"/>
      </c>
      <c r="E63" s="40">
        <f t="shared" si="23"/>
      </c>
      <c r="F63" s="40">
        <f t="shared" si="24"/>
      </c>
      <c r="G63" s="40">
        <f t="shared" si="16"/>
      </c>
      <c r="I63" s="5"/>
      <c r="J63" s="5"/>
    </row>
    <row r="64" spans="2:10" ht="12.75" customHeight="1">
      <c r="B64" s="32">
        <f t="shared" si="21"/>
      </c>
      <c r="C64" s="40">
        <f t="shared" si="22"/>
      </c>
      <c r="D64" s="40">
        <f t="shared" si="15"/>
      </c>
      <c r="E64" s="40">
        <f t="shared" si="23"/>
      </c>
      <c r="F64" s="40">
        <f t="shared" si="24"/>
      </c>
      <c r="G64" s="40">
        <f t="shared" si="16"/>
      </c>
      <c r="I64" s="5"/>
      <c r="J64" s="5"/>
    </row>
    <row r="65" spans="2:10" ht="12.75" customHeight="1">
      <c r="B65" s="32">
        <f t="shared" si="21"/>
      </c>
      <c r="C65" s="40">
        <f t="shared" si="22"/>
      </c>
      <c r="D65" s="40">
        <f t="shared" si="15"/>
      </c>
      <c r="E65" s="40">
        <f t="shared" si="23"/>
      </c>
      <c r="F65" s="40">
        <f t="shared" si="24"/>
      </c>
      <c r="G65" s="40">
        <f t="shared" si="16"/>
      </c>
      <c r="I65" s="5"/>
      <c r="J65" s="5"/>
    </row>
    <row r="66" spans="2:10" ht="12.75" customHeight="1">
      <c r="B66" s="32">
        <f t="shared" si="21"/>
      </c>
      <c r="C66" s="40">
        <f t="shared" si="22"/>
      </c>
      <c r="D66" s="40">
        <f t="shared" si="15"/>
      </c>
      <c r="E66" s="40">
        <f t="shared" si="23"/>
      </c>
      <c r="F66" s="40">
        <f t="shared" si="24"/>
      </c>
      <c r="G66" s="40">
        <f t="shared" si="16"/>
      </c>
      <c r="I66" s="5"/>
      <c r="J66" s="5"/>
    </row>
    <row r="67" spans="2:10" ht="12.75" customHeight="1">
      <c r="B67" s="32">
        <f t="shared" si="21"/>
      </c>
      <c r="C67" s="40">
        <f t="shared" si="22"/>
      </c>
      <c r="D67" s="40">
        <f t="shared" si="15"/>
      </c>
      <c r="E67" s="40">
        <f t="shared" si="23"/>
      </c>
      <c r="F67" s="40">
        <f t="shared" si="24"/>
      </c>
      <c r="G67" s="40">
        <f t="shared" si="16"/>
      </c>
      <c r="I67" s="5"/>
      <c r="J67" s="5"/>
    </row>
    <row r="68" spans="2:10" ht="12.75" customHeight="1">
      <c r="B68" s="32">
        <f t="shared" si="21"/>
      </c>
      <c r="C68" s="40">
        <f t="shared" si="22"/>
      </c>
      <c r="D68" s="40">
        <f t="shared" si="15"/>
      </c>
      <c r="E68" s="40">
        <f t="shared" si="23"/>
      </c>
      <c r="F68" s="40">
        <f t="shared" si="24"/>
      </c>
      <c r="G68" s="40">
        <f t="shared" si="16"/>
      </c>
      <c r="I68" s="5"/>
      <c r="J68" s="5"/>
    </row>
    <row r="69" spans="2:10" ht="12.75" customHeight="1">
      <c r="B69" s="32">
        <f t="shared" si="21"/>
      </c>
      <c r="C69" s="40">
        <f t="shared" si="22"/>
      </c>
      <c r="D69" s="40">
        <f t="shared" si="15"/>
      </c>
      <c r="E69" s="40">
        <f t="shared" si="23"/>
      </c>
      <c r="F69" s="40">
        <f t="shared" si="24"/>
      </c>
      <c r="G69" s="40">
        <f t="shared" si="16"/>
      </c>
      <c r="I69" s="5"/>
      <c r="J69" s="5"/>
    </row>
    <row r="70" spans="2:10" ht="12.75" customHeight="1">
      <c r="B70" s="32">
        <f t="shared" si="21"/>
      </c>
      <c r="C70" s="40">
        <f t="shared" si="22"/>
      </c>
      <c r="D70" s="40">
        <f t="shared" si="15"/>
      </c>
      <c r="E70" s="40">
        <f t="shared" si="23"/>
      </c>
      <c r="F70" s="40">
        <f t="shared" si="24"/>
      </c>
      <c r="G70" s="40">
        <f t="shared" si="16"/>
      </c>
      <c r="I70" s="5"/>
      <c r="J70" s="5"/>
    </row>
    <row r="71" spans="2:10" ht="12.75" customHeight="1">
      <c r="B71" s="32">
        <f t="shared" si="21"/>
      </c>
      <c r="C71" s="40">
        <f t="shared" si="22"/>
      </c>
      <c r="D71" s="40">
        <f t="shared" si="15"/>
      </c>
      <c r="E71" s="40">
        <f t="shared" si="23"/>
      </c>
      <c r="F71" s="40">
        <f t="shared" si="24"/>
      </c>
      <c r="G71" s="40">
        <f t="shared" si="16"/>
      </c>
      <c r="I71" s="5"/>
      <c r="J71" s="5"/>
    </row>
    <row r="72" spans="2:10" ht="12.75" customHeight="1">
      <c r="B72" s="32">
        <f t="shared" si="21"/>
      </c>
      <c r="C72" s="40">
        <f t="shared" si="22"/>
      </c>
      <c r="D72" s="40">
        <f t="shared" si="15"/>
      </c>
      <c r="E72" s="40">
        <f t="shared" si="23"/>
      </c>
      <c r="F72" s="40">
        <f t="shared" si="24"/>
      </c>
      <c r="G72" s="40">
        <f t="shared" si="16"/>
      </c>
      <c r="I72" s="5"/>
      <c r="J72" s="5"/>
    </row>
    <row r="73" spans="2:10" ht="12.75" customHeight="1">
      <c r="B73" s="32">
        <f t="shared" si="21"/>
      </c>
      <c r="C73" s="40">
        <f t="shared" si="22"/>
      </c>
      <c r="D73" s="40">
        <f t="shared" si="15"/>
      </c>
      <c r="E73" s="40">
        <f t="shared" si="23"/>
      </c>
      <c r="F73" s="40">
        <f t="shared" si="24"/>
      </c>
      <c r="G73" s="40">
        <f t="shared" si="16"/>
      </c>
      <c r="I73" s="5"/>
      <c r="J73" s="5"/>
    </row>
    <row r="74" spans="2:10" ht="12.75">
      <c r="B74" s="5"/>
      <c r="C74" s="5"/>
      <c r="D74" s="12"/>
      <c r="E74" s="12"/>
      <c r="F74" s="8"/>
      <c r="G74" s="8"/>
      <c r="H74" s="12"/>
      <c r="I74" s="5"/>
      <c r="J74" s="5"/>
    </row>
    <row r="150" spans="29:32" ht="13.5" hidden="1" thickTop="1">
      <c r="AC150" s="13"/>
      <c r="AD150" s="14" t="s">
        <v>7</v>
      </c>
      <c r="AE150" s="14"/>
      <c r="AF150" s="15"/>
    </row>
    <row r="151" spans="29:32" ht="12.75" hidden="1">
      <c r="AC151" s="16"/>
      <c r="AD151" s="17"/>
      <c r="AE151" s="17"/>
      <c r="AF151" s="18"/>
    </row>
    <row r="152" spans="29:32" ht="12.75" hidden="1">
      <c r="AC152" s="16" t="s">
        <v>6</v>
      </c>
      <c r="AD152" s="17"/>
      <c r="AE152" s="17"/>
      <c r="AF152" s="18"/>
    </row>
    <row r="153" spans="29:32" ht="12.75" hidden="1">
      <c r="AC153" s="19">
        <f>YEAR(C14)</f>
        <v>1905</v>
      </c>
      <c r="AD153" s="17"/>
      <c r="AE153" s="17"/>
      <c r="AF153" s="18"/>
    </row>
    <row r="154" spans="29:32" ht="12.75" hidden="1">
      <c r="AC154" s="16"/>
      <c r="AD154" s="17"/>
      <c r="AE154" s="17"/>
      <c r="AF154" s="18"/>
    </row>
    <row r="155" spans="29:32" ht="12.75" hidden="1">
      <c r="AC155" s="16">
        <f>IF(YEAR(C14)&gt;AC153,0,C14)</f>
        <v>2015</v>
      </c>
      <c r="AD155" s="17">
        <v>1</v>
      </c>
      <c r="AE155" s="17"/>
      <c r="AF155" s="18"/>
    </row>
    <row r="156" spans="29:32" ht="12.75" hidden="1">
      <c r="AC156" s="16">
        <f>IF(YEAR(C15)&gt;AC153,0,C15)</f>
        <v>2029</v>
      </c>
      <c r="AD156" s="17">
        <v>2</v>
      </c>
      <c r="AE156" s="17"/>
      <c r="AF156" s="18"/>
    </row>
    <row r="157" spans="29:32" ht="12.75" hidden="1">
      <c r="AC157" s="16">
        <f>IF(YEAR(C16)&gt;AC153,0,C16)</f>
        <v>2043</v>
      </c>
      <c r="AD157" s="17">
        <v>3</v>
      </c>
      <c r="AE157" s="17"/>
      <c r="AF157" s="18"/>
    </row>
    <row r="158" spans="29:32" ht="12.75" hidden="1">
      <c r="AC158" s="16">
        <f>IF(YEAR(C17)&gt;AC153,0,C17)</f>
        <v>2057</v>
      </c>
      <c r="AD158" s="17">
        <v>4</v>
      </c>
      <c r="AE158" s="17"/>
      <c r="AF158" s="18"/>
    </row>
    <row r="159" spans="29:32" ht="12.75" hidden="1">
      <c r="AC159" s="16">
        <f>IF(YEAR(C18)&gt;AC153,0,C18)</f>
        <v>2071</v>
      </c>
      <c r="AD159" s="17">
        <v>5</v>
      </c>
      <c r="AE159" s="17"/>
      <c r="AF159" s="18"/>
    </row>
    <row r="160" spans="29:32" ht="12.75" hidden="1">
      <c r="AC160" s="16">
        <f>IF(YEAR(C19)&gt;AC153,0,C19)</f>
        <v>2085</v>
      </c>
      <c r="AD160" s="17">
        <v>6</v>
      </c>
      <c r="AE160" s="17"/>
      <c r="AF160" s="18"/>
    </row>
    <row r="161" spans="29:32" ht="12.75" hidden="1">
      <c r="AC161" s="16">
        <f>IF(YEAR(C20)&gt;AC153,0,C20)</f>
        <v>2099</v>
      </c>
      <c r="AD161" s="17">
        <v>7</v>
      </c>
      <c r="AE161" s="17"/>
      <c r="AF161" s="18"/>
    </row>
    <row r="162" spans="29:32" ht="12.75" hidden="1">
      <c r="AC162" s="16">
        <f>IF(YEAR(C21)&gt;AC153,0,C21)</f>
        <v>2113</v>
      </c>
      <c r="AD162" s="17">
        <v>8</v>
      </c>
      <c r="AE162" s="17"/>
      <c r="AF162" s="18"/>
    </row>
    <row r="163" spans="29:32" ht="12.75" hidden="1">
      <c r="AC163" s="16">
        <f>IF(YEAR(C22)&gt;AC153,0,C22)</f>
        <v>2127</v>
      </c>
      <c r="AD163" s="17">
        <v>9</v>
      </c>
      <c r="AE163" s="17"/>
      <c r="AF163" s="18"/>
    </row>
    <row r="164" spans="29:32" ht="12.75" hidden="1">
      <c r="AC164" s="16">
        <f>IF(YEAR(C23)&gt;AC153,0,C23)</f>
        <v>2141</v>
      </c>
      <c r="AD164" s="17">
        <v>10</v>
      </c>
      <c r="AE164" s="17"/>
      <c r="AF164" s="18"/>
    </row>
    <row r="165" spans="29:32" ht="12.75" hidden="1">
      <c r="AC165" s="16">
        <f>IF(YEAR(C24)&gt;AC153,0,C24)</f>
        <v>2155</v>
      </c>
      <c r="AD165" s="17">
        <v>11</v>
      </c>
      <c r="AE165" s="17"/>
      <c r="AF165" s="18"/>
    </row>
    <row r="166" spans="29:32" ht="12.75" hidden="1">
      <c r="AC166" s="16">
        <f>IF(YEAR(C25)&gt;AC153,0,C25)</f>
        <v>2169</v>
      </c>
      <c r="AD166" s="17">
        <v>12</v>
      </c>
      <c r="AE166" s="17"/>
      <c r="AF166" s="18"/>
    </row>
    <row r="167" spans="29:32" ht="12.75" hidden="1">
      <c r="AC167" s="16">
        <f>IF(YEAR(C26)&gt;AC153,0,C26)</f>
        <v>2183</v>
      </c>
      <c r="AD167" s="17">
        <v>13</v>
      </c>
      <c r="AE167" s="17"/>
      <c r="AF167" s="18"/>
    </row>
    <row r="168" spans="29:32" ht="12.75" hidden="1">
      <c r="AC168" s="16">
        <f>IF(YEAR(C27)&gt;AC153,0,C27)</f>
        <v>0</v>
      </c>
      <c r="AD168" s="17">
        <v>14</v>
      </c>
      <c r="AE168" s="17"/>
      <c r="AF168" s="18"/>
    </row>
    <row r="169" spans="29:32" ht="12.75" hidden="1">
      <c r="AC169" s="16">
        <f>IF(YEAR(C28)&gt;AC153,0,C28)</f>
        <v>0</v>
      </c>
      <c r="AD169" s="17">
        <v>15</v>
      </c>
      <c r="AE169" s="17"/>
      <c r="AF169" s="18"/>
    </row>
    <row r="170" spans="29:32" ht="12.75" hidden="1">
      <c r="AC170" s="16">
        <f>IF(YEAR(C29)&gt;AC153,0,C29)</f>
        <v>0</v>
      </c>
      <c r="AD170" s="17">
        <v>16</v>
      </c>
      <c r="AE170" s="17"/>
      <c r="AF170" s="18"/>
    </row>
    <row r="171" spans="29:32" ht="12.75" hidden="1">
      <c r="AC171" s="16">
        <f>IF(YEAR(C30)&gt;AC153,0,C30)</f>
        <v>0</v>
      </c>
      <c r="AD171" s="17">
        <v>17</v>
      </c>
      <c r="AE171" s="17"/>
      <c r="AF171" s="18"/>
    </row>
    <row r="172" spans="29:32" ht="12.75" hidden="1">
      <c r="AC172" s="16">
        <f>IF(YEAR(C31)&gt;AC153,0,C31)</f>
        <v>0</v>
      </c>
      <c r="AD172" s="17">
        <v>18</v>
      </c>
      <c r="AE172" s="17"/>
      <c r="AF172" s="18"/>
    </row>
    <row r="173" spans="29:32" ht="12.75" hidden="1">
      <c r="AC173" s="16">
        <f>IF(YEAR(C32)&gt;AC153,0,C32)</f>
        <v>0</v>
      </c>
      <c r="AD173" s="17">
        <v>19</v>
      </c>
      <c r="AE173" s="17"/>
      <c r="AF173" s="18"/>
    </row>
    <row r="174" spans="29:32" ht="12.75" hidden="1">
      <c r="AC174" s="16">
        <f>IF(YEAR(C33)&gt;AC153,0,C33)</f>
        <v>0</v>
      </c>
      <c r="AD174" s="17">
        <v>20</v>
      </c>
      <c r="AE174" s="17"/>
      <c r="AF174" s="18"/>
    </row>
    <row r="175" spans="29:32" ht="12.75" hidden="1">
      <c r="AC175" s="16">
        <f>IF(YEAR(C34)&gt;AC153,0,C34)</f>
        <v>0</v>
      </c>
      <c r="AD175" s="17">
        <v>21</v>
      </c>
      <c r="AE175" s="17"/>
      <c r="AF175" s="18"/>
    </row>
    <row r="176" spans="29:32" ht="12.75" hidden="1">
      <c r="AC176" s="16">
        <f>IF(YEAR(C35)&gt;AC153,0,C35)</f>
        <v>0</v>
      </c>
      <c r="AD176" s="17">
        <v>22</v>
      </c>
      <c r="AE176" s="17"/>
      <c r="AF176" s="18"/>
    </row>
    <row r="177" spans="29:32" ht="12.75" hidden="1">
      <c r="AC177" s="16">
        <f>IF(YEAR(C36)&gt;AC153,0,C36)</f>
        <v>0</v>
      </c>
      <c r="AD177" s="17">
        <v>23</v>
      </c>
      <c r="AE177" s="17"/>
      <c r="AF177" s="18"/>
    </row>
    <row r="178" spans="29:32" ht="12.75" hidden="1">
      <c r="AC178" s="16">
        <f>IF(YEAR(C37)&gt;AC153,0,C37)</f>
        <v>0</v>
      </c>
      <c r="AD178" s="17">
        <v>24</v>
      </c>
      <c r="AE178" s="17"/>
      <c r="AF178" s="18"/>
    </row>
    <row r="179" spans="29:32" ht="12.75" hidden="1">
      <c r="AC179" s="16">
        <f>IF(YEAR(C38)&gt;AC153,0,C38)</f>
        <v>0</v>
      </c>
      <c r="AD179" s="17">
        <v>25</v>
      </c>
      <c r="AE179" s="17"/>
      <c r="AF179" s="18"/>
    </row>
    <row r="180" spans="29:32" ht="12.75" hidden="1">
      <c r="AC180" s="16">
        <f>IF(YEAR(C39)&gt;AC153,0,C39)</f>
        <v>0</v>
      </c>
      <c r="AD180" s="17">
        <v>26</v>
      </c>
      <c r="AE180" s="17"/>
      <c r="AF180" s="18"/>
    </row>
    <row r="181" spans="29:32" ht="12.75" hidden="1">
      <c r="AC181" s="20">
        <f>MAX(AC155:AC180)</f>
        <v>2183</v>
      </c>
      <c r="AD181" s="17"/>
      <c r="AE181" s="17"/>
      <c r="AF181" s="18"/>
    </row>
    <row r="182" spans="29:32" ht="12.75" hidden="1">
      <c r="AC182" s="16"/>
      <c r="AD182" s="17"/>
      <c r="AE182" s="21"/>
      <c r="AF182" s="18"/>
    </row>
    <row r="183" spans="29:32" ht="12.75" hidden="1">
      <c r="AC183" s="16" t="s">
        <v>8</v>
      </c>
      <c r="AD183" s="17"/>
      <c r="AE183" s="17">
        <f>VLOOKUP(AC181,AC155:AD180,2)</f>
        <v>13</v>
      </c>
      <c r="AF183" s="18"/>
    </row>
    <row r="184" spans="29:32" ht="12.75" hidden="1">
      <c r="AC184" s="16"/>
      <c r="AD184" s="17">
        <v>1</v>
      </c>
      <c r="AE184" s="17">
        <f>D6:D6*26-AE183</f>
        <v>377</v>
      </c>
      <c r="AF184" s="18">
        <f>G5*AE184</f>
        <v>786210.88</v>
      </c>
    </row>
    <row r="185" spans="29:32" ht="12.75" hidden="1">
      <c r="AC185" s="16"/>
      <c r="AD185" s="17">
        <f aca="true" t="shared" si="25" ref="AD185:AD213">AD184+1</f>
        <v>2</v>
      </c>
      <c r="AE185" s="17">
        <f aca="true" t="shared" si="26" ref="AE185:AE213">IF((AE184-26)&lt;1,0,AE184-26)</f>
        <v>351</v>
      </c>
      <c r="AF185" s="18">
        <f>G5*AE185</f>
        <v>731989.4400000001</v>
      </c>
    </row>
    <row r="186" spans="29:32" ht="12.75" hidden="1">
      <c r="AC186" s="16"/>
      <c r="AD186" s="17">
        <f t="shared" si="25"/>
        <v>3</v>
      </c>
      <c r="AE186" s="17">
        <f t="shared" si="26"/>
        <v>325</v>
      </c>
      <c r="AF186" s="18">
        <f>G5*AE186</f>
        <v>677768</v>
      </c>
    </row>
    <row r="187" spans="29:32" ht="12.75" hidden="1">
      <c r="AC187" s="16"/>
      <c r="AD187" s="17">
        <f t="shared" si="25"/>
        <v>4</v>
      </c>
      <c r="AE187" s="17">
        <f t="shared" si="26"/>
        <v>299</v>
      </c>
      <c r="AF187" s="18">
        <f>G5*AE187</f>
        <v>623546.56</v>
      </c>
    </row>
    <row r="188" spans="29:32" ht="12.75" hidden="1">
      <c r="AC188" s="16"/>
      <c r="AD188" s="17">
        <f t="shared" si="25"/>
        <v>5</v>
      </c>
      <c r="AE188" s="17">
        <f t="shared" si="26"/>
        <v>273</v>
      </c>
      <c r="AF188" s="18">
        <f>G5*AE188</f>
        <v>569325.12</v>
      </c>
    </row>
    <row r="189" spans="29:32" ht="12.75" hidden="1">
      <c r="AC189" s="16"/>
      <c r="AD189" s="17">
        <f t="shared" si="25"/>
        <v>6</v>
      </c>
      <c r="AE189" s="17">
        <f t="shared" si="26"/>
        <v>247</v>
      </c>
      <c r="AF189" s="18">
        <f>G5*AE189</f>
        <v>515103.68</v>
      </c>
    </row>
    <row r="190" spans="29:32" ht="12.75" hidden="1">
      <c r="AC190" s="16"/>
      <c r="AD190" s="17">
        <f t="shared" si="25"/>
        <v>7</v>
      </c>
      <c r="AE190" s="17">
        <f t="shared" si="26"/>
        <v>221</v>
      </c>
      <c r="AF190" s="18">
        <f>G5*AE190</f>
        <v>460882.24</v>
      </c>
    </row>
    <row r="191" spans="29:32" ht="12.75" hidden="1">
      <c r="AC191" s="16"/>
      <c r="AD191" s="17">
        <f t="shared" si="25"/>
        <v>8</v>
      </c>
      <c r="AE191" s="17">
        <f t="shared" si="26"/>
        <v>195</v>
      </c>
      <c r="AF191" s="18">
        <f>G5*AE191</f>
        <v>406660.8</v>
      </c>
    </row>
    <row r="192" spans="29:32" ht="12.75" hidden="1">
      <c r="AC192" s="16"/>
      <c r="AD192" s="17">
        <f t="shared" si="25"/>
        <v>9</v>
      </c>
      <c r="AE192" s="17">
        <f t="shared" si="26"/>
        <v>169</v>
      </c>
      <c r="AF192" s="18">
        <f>G5*AE192</f>
        <v>352439.36</v>
      </c>
    </row>
    <row r="193" spans="29:32" ht="12.75" hidden="1">
      <c r="AC193" s="16"/>
      <c r="AD193" s="17">
        <f t="shared" si="25"/>
        <v>10</v>
      </c>
      <c r="AE193" s="17">
        <f t="shared" si="26"/>
        <v>143</v>
      </c>
      <c r="AF193" s="18">
        <f>G5*AE193</f>
        <v>298217.92</v>
      </c>
    </row>
    <row r="194" spans="29:32" ht="12.75" hidden="1">
      <c r="AC194" s="16"/>
      <c r="AD194" s="17">
        <f t="shared" si="25"/>
        <v>11</v>
      </c>
      <c r="AE194" s="17">
        <f t="shared" si="26"/>
        <v>117</v>
      </c>
      <c r="AF194" s="18">
        <f>G5*AE194</f>
        <v>243996.48</v>
      </c>
    </row>
    <row r="195" spans="29:32" ht="12.75" hidden="1">
      <c r="AC195" s="16"/>
      <c r="AD195" s="17">
        <f t="shared" si="25"/>
        <v>12</v>
      </c>
      <c r="AE195" s="17">
        <f t="shared" si="26"/>
        <v>91</v>
      </c>
      <c r="AF195" s="18">
        <f>G5*AE195</f>
        <v>189775.04</v>
      </c>
    </row>
    <row r="196" spans="29:32" ht="12.75" hidden="1">
      <c r="AC196" s="16"/>
      <c r="AD196" s="17">
        <f t="shared" si="25"/>
        <v>13</v>
      </c>
      <c r="AE196" s="17">
        <f t="shared" si="26"/>
        <v>65</v>
      </c>
      <c r="AF196" s="18">
        <f>G5*AE196</f>
        <v>135553.6</v>
      </c>
    </row>
    <row r="197" spans="29:32" ht="12.75" hidden="1">
      <c r="AC197" s="16"/>
      <c r="AD197" s="17">
        <f t="shared" si="25"/>
        <v>14</v>
      </c>
      <c r="AE197" s="17">
        <f t="shared" si="26"/>
        <v>39</v>
      </c>
      <c r="AF197" s="18">
        <f>G5*AE197</f>
        <v>81332.16</v>
      </c>
    </row>
    <row r="198" spans="29:32" ht="12.75" hidden="1">
      <c r="AC198" s="16"/>
      <c r="AD198" s="17">
        <f t="shared" si="25"/>
        <v>15</v>
      </c>
      <c r="AE198" s="17">
        <f t="shared" si="26"/>
        <v>13</v>
      </c>
      <c r="AF198" s="18">
        <f>G5*AE198</f>
        <v>27110.72</v>
      </c>
    </row>
    <row r="199" spans="29:32" ht="12.75" hidden="1">
      <c r="AC199" s="16"/>
      <c r="AD199" s="17">
        <f t="shared" si="25"/>
        <v>16</v>
      </c>
      <c r="AE199" s="17">
        <f t="shared" si="26"/>
        <v>0</v>
      </c>
      <c r="AF199" s="18">
        <f>G5*AE199</f>
        <v>0</v>
      </c>
    </row>
    <row r="200" spans="29:32" ht="12.75" hidden="1">
      <c r="AC200" s="16"/>
      <c r="AD200" s="17">
        <f t="shared" si="25"/>
        <v>17</v>
      </c>
      <c r="AE200" s="17">
        <f t="shared" si="26"/>
        <v>0</v>
      </c>
      <c r="AF200" s="18">
        <f>G5*AE200</f>
        <v>0</v>
      </c>
    </row>
    <row r="201" spans="29:32" ht="12.75" hidden="1">
      <c r="AC201" s="16"/>
      <c r="AD201" s="17">
        <f t="shared" si="25"/>
        <v>18</v>
      </c>
      <c r="AE201" s="17">
        <f t="shared" si="26"/>
        <v>0</v>
      </c>
      <c r="AF201" s="18">
        <f>G5*AE201</f>
        <v>0</v>
      </c>
    </row>
    <row r="202" spans="29:32" ht="12.75" hidden="1">
      <c r="AC202" s="16"/>
      <c r="AD202" s="17">
        <f t="shared" si="25"/>
        <v>19</v>
      </c>
      <c r="AE202" s="17">
        <f t="shared" si="26"/>
        <v>0</v>
      </c>
      <c r="AF202" s="18">
        <f>G5*AE202</f>
        <v>0</v>
      </c>
    </row>
    <row r="203" spans="29:32" ht="12.75" hidden="1">
      <c r="AC203" s="16"/>
      <c r="AD203" s="17">
        <f t="shared" si="25"/>
        <v>20</v>
      </c>
      <c r="AE203" s="17">
        <f t="shared" si="26"/>
        <v>0</v>
      </c>
      <c r="AF203" s="18">
        <f>G5*AE203</f>
        <v>0</v>
      </c>
    </row>
    <row r="204" spans="29:32" ht="12.75" hidden="1">
      <c r="AC204" s="16"/>
      <c r="AD204" s="17">
        <f t="shared" si="25"/>
        <v>21</v>
      </c>
      <c r="AE204" s="17">
        <f t="shared" si="26"/>
        <v>0</v>
      </c>
      <c r="AF204" s="18">
        <f>G5*AE204</f>
        <v>0</v>
      </c>
    </row>
    <row r="205" spans="29:32" ht="12.75" hidden="1">
      <c r="AC205" s="16"/>
      <c r="AD205" s="17">
        <f t="shared" si="25"/>
        <v>22</v>
      </c>
      <c r="AE205" s="17">
        <f t="shared" si="26"/>
        <v>0</v>
      </c>
      <c r="AF205" s="18">
        <f>G5*AE205</f>
        <v>0</v>
      </c>
    </row>
    <row r="206" spans="29:32" ht="12.75" hidden="1">
      <c r="AC206" s="16"/>
      <c r="AD206" s="17">
        <f t="shared" si="25"/>
        <v>23</v>
      </c>
      <c r="AE206" s="17">
        <f t="shared" si="26"/>
        <v>0</v>
      </c>
      <c r="AF206" s="18">
        <f>G5*AE206</f>
        <v>0</v>
      </c>
    </row>
    <row r="207" spans="29:32" ht="12.75" hidden="1">
      <c r="AC207" s="16"/>
      <c r="AD207" s="17">
        <f t="shared" si="25"/>
        <v>24</v>
      </c>
      <c r="AE207" s="17">
        <f t="shared" si="26"/>
        <v>0</v>
      </c>
      <c r="AF207" s="18">
        <f>G5*AE207</f>
        <v>0</v>
      </c>
    </row>
    <row r="208" spans="29:32" ht="12.75" hidden="1">
      <c r="AC208" s="16"/>
      <c r="AD208" s="17">
        <f t="shared" si="25"/>
        <v>25</v>
      </c>
      <c r="AE208" s="17">
        <f t="shared" si="26"/>
        <v>0</v>
      </c>
      <c r="AF208" s="18">
        <f>G5*AE208</f>
        <v>0</v>
      </c>
    </row>
    <row r="209" spans="29:32" ht="12.75" hidden="1">
      <c r="AC209" s="16"/>
      <c r="AD209" s="17">
        <f t="shared" si="25"/>
        <v>26</v>
      </c>
      <c r="AE209" s="17">
        <f t="shared" si="26"/>
        <v>0</v>
      </c>
      <c r="AF209" s="18">
        <f>G5*AE209</f>
        <v>0</v>
      </c>
    </row>
    <row r="210" spans="29:32" ht="12.75" hidden="1">
      <c r="AC210" s="16"/>
      <c r="AD210" s="17">
        <f t="shared" si="25"/>
        <v>27</v>
      </c>
      <c r="AE210" s="17">
        <f t="shared" si="26"/>
        <v>0</v>
      </c>
      <c r="AF210" s="18">
        <f>G5*AE210</f>
        <v>0</v>
      </c>
    </row>
    <row r="211" spans="29:32" ht="12.75" hidden="1">
      <c r="AC211" s="16"/>
      <c r="AD211" s="17">
        <f t="shared" si="25"/>
        <v>28</v>
      </c>
      <c r="AE211" s="17">
        <f t="shared" si="26"/>
        <v>0</v>
      </c>
      <c r="AF211" s="18">
        <f>G5*AE211</f>
        <v>0</v>
      </c>
    </row>
    <row r="212" spans="29:32" ht="12.75" hidden="1">
      <c r="AC212" s="16"/>
      <c r="AD212" s="17">
        <f t="shared" si="25"/>
        <v>29</v>
      </c>
      <c r="AE212" s="17">
        <f t="shared" si="26"/>
        <v>0</v>
      </c>
      <c r="AF212" s="18">
        <f>G5*AE212</f>
        <v>0</v>
      </c>
    </row>
    <row r="213" spans="29:32" ht="12.75" hidden="1">
      <c r="AC213" s="16"/>
      <c r="AD213" s="17">
        <f t="shared" si="25"/>
        <v>30</v>
      </c>
      <c r="AE213" s="17">
        <f t="shared" si="26"/>
        <v>0</v>
      </c>
      <c r="AF213" s="18">
        <f>G5*AE213</f>
        <v>0</v>
      </c>
    </row>
    <row r="214" spans="29:32" ht="13.5" hidden="1" thickBot="1">
      <c r="AC214" s="22"/>
      <c r="AD214" s="23"/>
      <c r="AE214" s="23">
        <v>0</v>
      </c>
      <c r="AF214" s="24"/>
    </row>
  </sheetData>
  <sheetProtection/>
  <mergeCells count="26">
    <mergeCell ref="B8:C8"/>
    <mergeCell ref="B9:C9"/>
    <mergeCell ref="B12:B13"/>
    <mergeCell ref="E12:E13"/>
    <mergeCell ref="D12:D13"/>
    <mergeCell ref="C12:C13"/>
    <mergeCell ref="G12:G13"/>
    <mergeCell ref="F12:F13"/>
    <mergeCell ref="J12:J13"/>
    <mergeCell ref="I12:I13"/>
    <mergeCell ref="H12:H13"/>
    <mergeCell ref="B42:B43"/>
    <mergeCell ref="C42:C43"/>
    <mergeCell ref="G42:G43"/>
    <mergeCell ref="E42:E43"/>
    <mergeCell ref="D42:D43"/>
    <mergeCell ref="F42:F43"/>
    <mergeCell ref="E3:G3"/>
    <mergeCell ref="B4:C4"/>
    <mergeCell ref="B5:C5"/>
    <mergeCell ref="B7:C7"/>
    <mergeCell ref="B3:D3"/>
    <mergeCell ref="E4:F4"/>
    <mergeCell ref="E5:F5"/>
    <mergeCell ref="E6:F6"/>
    <mergeCell ref="E7:F7"/>
  </mergeCells>
  <printOptions horizontalCentered="1"/>
  <pageMargins left="0.65" right="0.65" top="0.65" bottom="0.65" header="0.5" footer="0.5"/>
  <pageSetup horizontalDpi="300" verticalDpi="300" orientation="portrait" scale="71" r:id="rId1"/>
  <ignoredErrors>
    <ignoredError sqref="C14:D14 G14:G39" emptyCellReference="1"/>
    <ignoredError sqref="AC153 AC155:AC181 AE183 AF184:AF213 AE185:AE213" evalError="1"/>
    <ignoredError sqref="AE184" emptyCellReference="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</v>
      </c>
      <c r="B1" t="b">
        <v>0</v>
      </c>
    </row>
    <row r="2" spans="1:2" ht="12.75">
      <c r="A2" t="s">
        <v>10</v>
      </c>
      <c r="B2" t="b">
        <v>0</v>
      </c>
    </row>
    <row r="3" spans="1:2" ht="12.75">
      <c r="A3" t="s">
        <v>11</v>
      </c>
      <c r="B3" t="s">
        <v>13</v>
      </c>
    </row>
    <row r="4" spans="1:2" ht="12.75">
      <c r="A4" t="s">
        <v>12</v>
      </c>
      <c r="B4">
        <v>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2004-03-30T01:43:08Z</cp:lastPrinted>
  <dcterms:created xsi:type="dcterms:W3CDTF">1997-03-01T10:52:02Z</dcterms:created>
  <dcterms:modified xsi:type="dcterms:W3CDTF">2004-04-23T21:30:40Z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TC010566181033</vt:lpwstr>
  </property>
</Properties>
</file>